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E283411E-D1EA-424F-AA49-7B02F122EAA4}" xr6:coauthVersionLast="47" xr6:coauthVersionMax="47" xr10:uidLastSave="{00000000-0000-0000-0000-000000000000}"/>
  <bookViews>
    <workbookView xWindow="3420" yWindow="500" windowWidth="2538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2" l="1" a="1"/>
  <c r="K5" i="2" s="1"/>
  <c r="K9" i="2" a="1"/>
  <c r="K9" i="2" s="1"/>
  <c r="K8" i="2" a="1"/>
  <c r="K8" i="2" s="1"/>
  <c r="A3" i="2" s="1" a="1"/>
  <c r="A3" i="2" s="1"/>
  <c r="F10" i="2" l="1"/>
  <c r="J12" i="2"/>
  <c r="F15" i="2"/>
  <c r="F16" i="2" s="1"/>
  <c r="G15" i="2"/>
  <c r="J10" i="2"/>
  <c r="J14" i="2" s="1"/>
  <c r="H15" i="2"/>
  <c r="H17" i="2" s="1"/>
  <c r="F12" i="2"/>
  <c r="F14" i="2" s="1"/>
  <c r="C5" i="2" s="1"/>
  <c r="I15" i="2"/>
  <c r="I17" i="2" s="1"/>
  <c r="H12" i="2"/>
  <c r="I12" i="2"/>
  <c r="G10" i="2"/>
  <c r="H10" i="2"/>
  <c r="H11" i="2" s="1"/>
  <c r="I10" i="2"/>
  <c r="G12" i="2"/>
  <c r="G14" i="2" s="1"/>
  <c r="J15" i="2"/>
  <c r="J17" i="2" s="1"/>
  <c r="K4" i="2" a="1"/>
  <c r="K4" i="2" s="1"/>
  <c r="G3" i="2"/>
  <c r="O10" i="2"/>
  <c r="O9" i="2"/>
  <c r="O7" i="2"/>
  <c r="G7" i="2"/>
  <c r="E7" i="2"/>
  <c r="O6" i="2"/>
  <c r="O19" i="2" s="1"/>
  <c r="G6" i="2"/>
  <c r="E6" i="2"/>
  <c r="O5" i="2"/>
  <c r="G5" i="2"/>
  <c r="C4" i="2"/>
  <c r="A4" i="2"/>
  <c r="C3" i="2"/>
  <c r="C21" i="2" a="1"/>
  <c r="C21" i="2" s="1"/>
  <c r="H12" i="1"/>
  <c r="A22" i="2" a="1"/>
  <c r="A22" i="2" s="1"/>
  <c r="A21" i="2" a="1"/>
  <c r="A21" i="2" s="1"/>
  <c r="E17" i="2"/>
  <c r="D17" i="2"/>
  <c r="C17" i="2"/>
  <c r="B17" i="2"/>
  <c r="G16" i="2"/>
  <c r="E16" i="2"/>
  <c r="D16" i="2"/>
  <c r="C16" i="2"/>
  <c r="E5" i="2" s="1"/>
  <c r="O15" i="2"/>
  <c r="E14" i="2"/>
  <c r="D14" i="2"/>
  <c r="C14" i="2"/>
  <c r="B14" i="2"/>
  <c r="J13" i="2"/>
  <c r="E13" i="2"/>
  <c r="D13" i="2"/>
  <c r="C13" i="2"/>
  <c r="G11" i="2"/>
  <c r="F11" i="2"/>
  <c r="E11" i="2"/>
  <c r="D11" i="2"/>
  <c r="C11" i="2"/>
  <c r="E3" i="2" s="1"/>
  <c r="O11" i="2"/>
  <c r="A5" i="2" a="1"/>
  <c r="A5" i="2" s="1"/>
  <c r="K3" i="2"/>
  <c r="J190" i="1"/>
  <c r="I190" i="1"/>
  <c r="H190" i="1"/>
  <c r="G190" i="1"/>
  <c r="F190" i="1"/>
  <c r="E190" i="1"/>
  <c r="D190" i="1"/>
  <c r="C190" i="1"/>
  <c r="B190" i="1"/>
  <c r="J189" i="1"/>
  <c r="I189" i="1"/>
  <c r="H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I35" i="1"/>
  <c r="H35" i="1"/>
  <c r="F35" i="1"/>
  <c r="E35" i="1"/>
  <c r="D35" i="1"/>
  <c r="C35" i="1"/>
  <c r="J18" i="1"/>
  <c r="I18" i="1"/>
  <c r="H18" i="1"/>
  <c r="F18" i="1"/>
  <c r="E18" i="1"/>
  <c r="D18" i="1"/>
  <c r="C18" i="1"/>
  <c r="J14" i="1"/>
  <c r="I14" i="1"/>
  <c r="H14" i="1"/>
  <c r="G14" i="1"/>
  <c r="F14" i="1"/>
  <c r="E14" i="1"/>
  <c r="D14" i="1"/>
  <c r="C14" i="1"/>
  <c r="B14" i="1"/>
  <c r="J12" i="1"/>
  <c r="I12" i="1"/>
  <c r="G12" i="1"/>
  <c r="F12" i="1"/>
  <c r="E12" i="1"/>
  <c r="D12" i="1"/>
  <c r="C12" i="1"/>
  <c r="B12" i="1"/>
  <c r="J3" i="1"/>
  <c r="I3" i="1"/>
  <c r="H3" i="1"/>
  <c r="F3" i="1"/>
  <c r="E3" i="1"/>
  <c r="D3" i="1"/>
  <c r="C3" i="1"/>
  <c r="G17" i="2" l="1"/>
  <c r="I13" i="2"/>
  <c r="F17" i="2"/>
  <c r="C6" i="2" s="1"/>
  <c r="I11" i="2"/>
  <c r="K11" i="2" s="1"/>
  <c r="H14" i="2"/>
  <c r="H13" i="2"/>
  <c r="I14" i="2"/>
  <c r="J11" i="2"/>
  <c r="G13" i="2"/>
  <c r="H16" i="2"/>
  <c r="I16" i="2"/>
  <c r="J16" i="2"/>
  <c r="F13" i="2"/>
  <c r="G4" i="2"/>
  <c r="O8" i="2"/>
  <c r="O12" i="2" s="1"/>
  <c r="E4" i="2"/>
  <c r="O20" i="2"/>
  <c r="C7" i="2"/>
  <c r="K13" i="2" l="1"/>
  <c r="K16" i="2"/>
  <c r="A6" i="2"/>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4"/>
        </ext>
      </extLst>
    </bk>
    <bk>
      <extLst>
        <ext uri="{3e2802c4-a4d2-4d8b-9148-e3be6c30e623}">
          <xlrd:rvb i="6"/>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<sst xmlns="http://schemas.openxmlformats.org/spreadsheetml/2006/main" count="754" uniqueCount="246">
  <si>
    <t>2019 Y</t>
  </si>
  <si>
    <t>2020 Y</t>
  </si>
  <si>
    <t>2021 Y</t>
  </si>
  <si>
    <t>2022 Y</t>
  </si>
  <si>
    <t>TTM</t>
  </si>
  <si>
    <t>2022 Q3</t>
  </si>
  <si>
    <t>2022 Q4</t>
  </si>
  <si>
    <t>2022 Q1</t>
  </si>
  <si>
    <t>2022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</si>
  <si>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</si>
  <si>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</si>
  <si>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</si>
  <si>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</si>
  <si>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</si>
  <si>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</si>
  <si>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</si>
  <si>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</si>
  <si>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</si>
  <si>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</si>
  <si>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</si>
  <si>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</si>
  <si>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</si>
  <si>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</si>
  <si>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</si>
  <si>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</si>
  <si>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</si>
  <si>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</si>
  <si>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</si>
  <si>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</si>
  <si>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</si>
  <si>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</si>
  <si>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</si>
  <si>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</si>
  <si>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</si>
  <si>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</si>
  <si>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</si>
  <si>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</si>
  <si>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</si>
  <si>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</si>
  <si>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</si>
  <si>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</si>
  <si>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</si>
  <si>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</si>
  <si>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</si>
  <si>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</si>
  <si>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</si>
  <si>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</si>
  <si>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</si>
  <si>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</si>
  <si>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</si>
  <si>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</si>
  <si>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</si>
  <si>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</si>
  <si>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</si>
  <si>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</si>
  <si>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</si>
  <si>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</si>
  <si>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</si>
  <si>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</si>
  <si>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</si>
  <si>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</si>
  <si>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</si>
  <si>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</si>
  <si>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</si>
  <si>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</si>
  <si>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</si>
  <si>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</si>
  <si>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</si>
  <si>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</si>
  <si>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</si>
  <si>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</si>
  <si>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</si>
  <si>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</si>
  <si>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</si>
  <si>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</si>
  <si>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</si>
  <si>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</si>
  <si>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</si>
  <si>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</si>
  <si>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</si>
  <si>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</si>
  <si>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</si>
  <si>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</si>
  <si>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</si>
  <si>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</si>
  <si>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</si>
  <si>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</si>
  <si>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</si>
  <si>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</si>
  <si>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</si>
  <si>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</si>
  <si>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</si>
  <si>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</si>
  <si>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</si>
  <si>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</si>
  <si>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</si>
  <si>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</si>
  <si>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</si>
  <si>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</si>
  <si>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</si>
  <si>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</si>
  <si>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</si>
  <si>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</si>
  <si>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</si>
  <si>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</si>
  <si>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</si>
  <si>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</si>
  <si>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</si>
  <si>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</si>
  <si>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</si>
  <si>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</si>
  <si>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</si>
  <si>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</si>
  <si>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</si>
  <si>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</si>
  <si>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</si>
  <si>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</si>
  <si>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</si>
  <si>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</si>
  <si>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</si>
  <si>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</si>
  <si>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</si>
  <si>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</si>
  <si>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</si>
  <si>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</si>
  <si>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</si>
  <si>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</si>
  <si>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</si>
  <si>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</si>
  <si>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</si>
  <si>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</si>
  <si>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</si>
  <si>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</si>
  <si>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</si>
  <si>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</si>
  <si>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</si>
  <si>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</si>
  <si>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</si>
  <si>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</si>
  <si>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</si>
  <si>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</si>
  <si>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</si>
  <si>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</si>
  <si>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</si>
  <si>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</si>
  <si>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</si>
  <si>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</si>
  <si>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</si>
  <si>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</si>
  <si>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</si>
  <si>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</si>
  <si>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</si>
  <si>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</si>
  <si>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</si>
  <si>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</si>
  <si>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</si>
  <si>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</si>
  <si>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</si>
  <si>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</si>
  <si>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</si>
  <si>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</si>
  <si>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</si>
  <si>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</si>
  <si>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</si>
  <si>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</si>
  <si>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</si>
  <si>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</si>
  <si>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</si>
  <si>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</si>
  <si>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</si>
  <si>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</si>
  <si>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</si>
  <si>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</si>
  <si>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</si>
  <si>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</si>
  <si>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</si>
  <si>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</si>
  <si>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</si>
  <si>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</si>
  <si>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</si>
  <si>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</si>
  <si>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</si>
  <si>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</si>
  <si>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</si>
  <si>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</si>
  <si>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</si>
  <si>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</si>
  <si>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</si>
  <si>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</si>
  <si>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</si>
  <si>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</si>
  <si>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</si>
  <si>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</si>
  <si>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</si>
  <si>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</si>
  <si>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</si>
  <si>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</si>
  <si>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</si>
  <si>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</si>
  <si>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</si>
  <si>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</si>
  <si>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</si>
  <si>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</si>
  <si>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</si>
  <si>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</si>
  <si>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</si>
  <si>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</si>
  <si>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</si>
  <si>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</si>
  <si>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</si>
  <si>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</si>
  <si>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Interest Expense</t>
  </si>
  <si>
    <t>Fwd P/S</t>
  </si>
  <si>
    <t>ROE</t>
  </si>
  <si>
    <t>Total Debt</t>
  </si>
  <si>
    <t>Discount Rate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</si>
  <si>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</si>
  <si>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</si>
  <si>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</si>
  <si>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</si>
  <si>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</si>
  <si>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</si>
  <si>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</si>
  <si>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</si>
  <si>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</si>
  <si>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</si>
  <si>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</si>
  <si>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</si>
  <si>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</si>
  <si>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</si>
  <si>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</si>
  <si>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</si>
  <si>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</si>
  <si>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</si>
  <si>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</si>
  <si>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</si>
  <si>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</si>
  <si>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</si>
  <si>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</si>
  <si>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</si>
  <si>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</si>
  <si>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</si>
  <si>
    <t>(in USD)</t>
  </si>
  <si>
    <t>Market Price (CAD)</t>
  </si>
  <si>
    <t>Intrinsic Value (CAD)</t>
  </si>
  <si>
    <t>Market Cap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</si>
</sst>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theme="1"/>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4" xfId="0" applyFont="1" applyFill="1" applyBorder="1" applyAlignment="1">
      <alignment horizontal="left" vertical="center" indent="2"/>
    </xf>
    <xf numFmtId="9" fontId="11" fillId="6" borderId="4" xfId="0" applyNumberFormat="1" applyFont="1" applyFill="1" applyBorder="1" applyAlignment="1">
      <alignment horizontal="righ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0" fontId="4" fillId="7" borderId="5" xfId="0" applyFont="1" applyFill="1" applyBorder="1" applyAlignment="1">
      <alignment vertical="center"/>
    </xf>
    <xf numFmtId="9" fontId="4" fillId="7" borderId="5" xfId="1" applyFont="1" applyFill="1" applyBorder="1" applyAlignment="1">
      <alignment vertical="center"/>
    </xf>
    <xf numFmtId="165" fontId="11" fillId="6" borderId="3" xfId="0" applyNumberFormat="1" applyFont="1" applyFill="1" applyBorder="1" applyAlignment="1">
      <alignment horizontal="right" vertical="center"/>
    </xf>
    <xf numFmtId="0" fontId="11" fillId="8" borderId="3" xfId="0" applyFont="1" applyFill="1" applyBorder="1" applyAlignment="1">
      <alignment horizontal="left" vertical="center"/>
    </xf>
    <xf numFmtId="164" fontId="11" fillId="8" borderId="3" xfId="0" applyNumberFormat="1" applyFont="1" applyFill="1" applyBorder="1"/>
    <xf numFmtId="9" fontId="11" fillId="8" borderId="3" xfId="0" applyNumberFormat="1" applyFont="1" applyFill="1" applyBorder="1" applyAlignment="1">
      <alignment horizontal="right" vertical="center"/>
    </xf>
    <xf numFmtId="0" fontId="4" fillId="0" borderId="4" xfId="0" applyFont="1" applyBorder="1"/>
    <xf numFmtId="10" fontId="4" fillId="0" borderId="4" xfId="1" applyNumberFormat="1" applyFont="1" applyBorder="1"/>
    <xf numFmtId="3" fontId="5" fillId="0" borderId="4" xfId="0" applyNumberFormat="1" applyFont="1" applyBorder="1"/>
    <xf numFmtId="3" fontId="6" fillId="4" borderId="4" xfId="0" applyNumberFormat="1" applyFont="1" applyFill="1" applyBorder="1"/>
    <xf numFmtId="0" fontId="3" fillId="0" borderId="4" xfId="0" applyFont="1" applyBorder="1"/>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4" fontId="4" fillId="9" borderId="6"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2"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0" fontId="1" fillId="11" borderId="1" xfId="0" applyFont="1" applyFill="1" applyBorder="1"/>
    <xf numFmtId="164" fontId="4" fillId="9" borderId="13"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9" fontId="14" fillId="10" borderId="14"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0" fontId="15" fillId="12" borderId="16" xfId="0" applyFont="1" applyFill="1" applyBorder="1" applyAlignment="1">
      <alignment horizontal="left" vertical="center" wrapText="1"/>
    </xf>
    <xf numFmtId="164" fontId="16" fillId="12" borderId="14" xfId="0" applyNumberFormat="1" applyFont="1" applyFill="1" applyBorder="1" applyAlignment="1">
      <alignment vertical="center"/>
    </xf>
    <xf numFmtId="167" fontId="4" fillId="9" borderId="13"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5"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4" fillId="11" borderId="16" xfId="1" applyFont="1" applyFill="1" applyBorder="1" applyAlignment="1">
      <alignment horizontal="left" indent="1"/>
    </xf>
    <xf numFmtId="0" fontId="1" fillId="11" borderId="1" xfId="0" applyFont="1" applyFill="1" applyBorder="1" applyAlignment="1">
      <alignment vertical="center"/>
    </xf>
    <xf numFmtId="0" fontId="19" fillId="12" borderId="16" xfId="0" applyFont="1" applyFill="1" applyBorder="1" applyAlignment="1">
      <alignment horizontal="left" vertical="center" wrapText="1"/>
    </xf>
    <xf numFmtId="10" fontId="20" fillId="12" borderId="14" xfId="0" applyNumberFormat="1" applyFont="1" applyFill="1" applyBorder="1" applyAlignment="1">
      <alignmen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4" xfId="0" applyFont="1" applyFill="1" applyBorder="1" applyAlignment="1">
      <alignment horizontal="right" vertical="center" indent="1"/>
    </xf>
    <xf numFmtId="9" fontId="13" fillId="10" borderId="11"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6"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6" xfId="1" applyFont="1" applyFill="1" applyBorder="1" applyAlignment="1">
      <alignment horizontal="right" vertical="center" indent="1"/>
    </xf>
    <xf numFmtId="9" fontId="4" fillId="12" borderId="14" xfId="1" applyFont="1" applyFill="1" applyBorder="1" applyAlignment="1">
      <alignment horizontal="right" vertical="center" indent="1"/>
    </xf>
    <xf numFmtId="10" fontId="16" fillId="12" borderId="14" xfId="0" applyNumberFormat="1" applyFont="1" applyFill="1" applyBorder="1" applyAlignment="1">
      <alignment vertical="center"/>
    </xf>
    <xf numFmtId="164" fontId="4" fillId="10" borderId="11" xfId="0" applyNumberFormat="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0" fontId="17" fillId="12" borderId="11"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2" fontId="16" fillId="12" borderId="14" xfId="0" applyNumberFormat="1" applyFont="1" applyFill="1" applyBorder="1" applyAlignment="1">
      <alignment vertical="center"/>
    </xf>
    <xf numFmtId="0" fontId="24" fillId="12" borderId="16"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4"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4"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9" fontId="3" fillId="13" borderId="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3" fillId="9" borderId="20" xfId="0" applyFont="1" applyFill="1" applyBorder="1" applyAlignment="1">
      <alignment horizontal="left" vertical="center" indent="2"/>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1" xfId="1" applyFont="1" applyFill="1" applyBorder="1" applyAlignment="1">
      <alignment horizontal="center" vertical="center"/>
    </xf>
    <xf numFmtId="9" fontId="13" fillId="12" borderId="12"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https://www.bing.com/financeapi/forcetrigger?t=bxl3p2&amp;q=XTSX%3aTOI&amp;form=skydnc</v>
    <v>Learn more on Bing</v>
  </rv>
  <rv s="1">
    <v>0</v>
    <v>Topicus.com Inc. (XTSX:TOI)</v>
    <v>2</v>
    <v>3</v>
    <v>Finance</v>
    <v>4</v>
    <v>en-US</v>
    <v>bxl3p2</v>
    <v>268435456</v>
    <v>1</v>
    <v>Powered by Refinitiv</v>
    <v>110</v>
    <v>66.17</v>
    <v>1.84</v>
    <v>2.0139999999999998E-2</v>
    <v>CAD</v>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approximately 20 diverse markets primarily in Europe. Its three companies, namely Total Specific Solutions (TSS) Public, TSS Blue and Topicus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v>
    <v>TSX Venture Exchange</v>
    <v>XTSX</v>
    <v>XTSX</v>
    <v>#1200 - 20 Adelaide Street, East, TORONTO, ON, M5C 2T6 CA</v>
    <v>95.06</v>
    <v>Software &amp; IT Services</v>
    <v>Stock</v>
    <v>45261.875</v>
    <v>0</v>
    <v>90.614999999999995</v>
    <v>7466584000</v>
    <v>Topicus.com Inc.</v>
    <v>Topicus.com Inc.</v>
    <v>91.99</v>
    <v>82.13</v>
    <v>91.36</v>
    <v>93.2</v>
    <v>81889760</v>
    <v>TOI</v>
    <v>Topicus.com Inc. (XTSX:TOI)</v>
    <v>41696</v>
    <v>35360</v>
    <v>2020</v>
  </rv>
  <rv s="2">
    <v>1</v>
  </rv>
  <rv s="3">
    <v>5</v>
    <v>CAD/USD</v>
    <v>6</v>
    <v>7</v>
    <v>Finance</v>
    <v>8</v>
    <v>en-US</v>
    <v>av3wnm</v>
    <v>268435456</v>
    <v>1</v>
    <v>Powered by Refinitiv</v>
    <v>0.76380000000000003</v>
    <v>0.71930000000000005</v>
    <v>3.3E-3</v>
    <v>4.4749999999999998E-3</v>
    <v>USD</v>
    <v>CAD</v>
    <v>Currency Pair</v>
    <v>45261.916666666664</v>
    <v>Canadian Dollar/US Dollar FX Cross Rate</v>
    <v>0.73740000000000006</v>
    <v>0.74070000000000003</v>
    <v>CADUSD</v>
    <v>CAD/USD</v>
  </rv>
  <rv s="2">
    <v>3</v>
  </rv>
  <rv s="3">
    <v>5</v>
    <v>USD/CAD</v>
    <v>6</v>
    <v>9</v>
    <v>Finance</v>
    <v>8</v>
    <v>en-US</v>
    <v>avylur</v>
    <v>268435456</v>
    <v>1</v>
    <v>Powered by Refinitiv</v>
    <v>1.3898999999999999</v>
    <v>1.3089999999999999</v>
    <v>-6.4999999999999997E-3</v>
    <v>-4.7930000000000004E-3</v>
    <v>CAD</v>
    <v>USD</v>
    <v>Currency Pair</v>
    <v>45261.916666666664</v>
    <v>US Dollar/Canadian Dollar FX Spot Rate</v>
    <v>1.3562000000000001</v>
    <v>1.3496999999999999</v>
    <v>USDCAD</v>
    <v>USD/CAD</v>
  </rv>
  <rv s="2">
    <v>5</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rvStructures>
</file>

<file path=xl/richData/rdsupportingpropertybag.xml><?xml version="1.0" encoding="utf-8"?>
<supportingPropertyBags xmlns="http://schemas.microsoft.com/office/spreadsheetml/2017/richdata2">
  <spbArrays count="2">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spbArrays>
  <spbData count="10">
    <spb s="0">
      <v>0</v>
      <v>Name</v>
      <v>LearnMoreOnLink</v>
    </spb>
    <spb s="1">
      <v>0</v>
      <v>0</v>
      <v>0</v>
    </spb>
    <spb s="2">
      <v>1</v>
      <v>1</v>
      <v>1</v>
      <v>1</v>
    </spb>
    <spb s="3">
      <v>1</v>
      <v>2</v>
      <v>1</v>
      <v>3</v>
      <v>1</v>
      <v>1</v>
      <v>1</v>
      <v>4</v>
      <v>5</v>
      <v>6</v>
      <v>1</v>
      <v>1</v>
      <v>1</v>
      <v>4</v>
      <v>7</v>
      <v>8</v>
      <v>9</v>
      <v>4</v>
    </spb>
    <spb s="4">
      <v>Delayed 20 minutes</v>
      <v>from previous close</v>
      <v>from previous close</v>
      <v>GMT</v>
    </spb>
    <spb s="5">
      <v>1</v>
      <v>Name</v>
    </spb>
    <spb s="6">
      <v>1</v>
      <v>1</v>
    </spb>
    <spb s="7">
      <v>3</v>
      <v>10</v>
      <v>10</v>
      <v>5</v>
      <v>10</v>
      <v>10</v>
      <v>10</v>
      <v>7</v>
      <v>9</v>
    </spb>
    <spb s="8">
      <v>GMT</v>
    </spb>
    <spb s="7">
      <v>3</v>
      <v>1</v>
      <v>1</v>
      <v>5</v>
      <v>1</v>
      <v>1</v>
      <v>1</v>
      <v>7</v>
      <v>9</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UniqueName" t="spb"/>
    <k n="`%ProviderInfo" t="spb"/>
  </s>
  <s>
    <k n="Name"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TOI%3ACN/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TSXV:TO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68" workbookViewId="0">
      <pane xSplit="1" topLeftCell="B1" activePane="topRight" state="frozen"/>
      <selection pane="topRight" activeCell="F175" sqref="F175"/>
    </sheetView>
  </sheetViews>
  <sheetFormatPr baseColWidth="10" defaultRowHeight="15" x14ac:dyDescent="0.2"/>
  <cols>
    <col min="1" max="1" width="40.83203125" customWidth="1"/>
    <col min="2" max="11" width="15.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36" t="s">
        <v>9</v>
      </c>
      <c r="B2" s="34">
        <v>468530761</v>
      </c>
      <c r="C2" s="34">
        <v>604419485</v>
      </c>
      <c r="D2" s="34">
        <v>844420313</v>
      </c>
      <c r="E2" s="34">
        <v>978326344</v>
      </c>
      <c r="F2" s="35">
        <v>1122433151</v>
      </c>
      <c r="G2" s="34">
        <v>223937813</v>
      </c>
      <c r="H2" s="34">
        <v>281443772</v>
      </c>
      <c r="I2" s="34">
        <v>287288551</v>
      </c>
      <c r="J2" s="34">
        <v>296842646</v>
      </c>
    </row>
    <row r="3" spans="1:10" ht="16" x14ac:dyDescent="0.2">
      <c r="A3" s="9" t="s">
        <v>182</v>
      </c>
      <c r="B3" s="10"/>
      <c r="C3" s="11">
        <f t="shared" ref="C3:J3" si="0">(C2/B2)-1</f>
        <v>0.29003159517204047</v>
      </c>
      <c r="D3" s="11">
        <f t="shared" si="0"/>
        <v>0.39707658994481299</v>
      </c>
      <c r="E3" s="11">
        <f t="shared" si="0"/>
        <v>0.15857746306962661</v>
      </c>
      <c r="F3" s="11">
        <f t="shared" si="0"/>
        <v>0.14729932183038508</v>
      </c>
      <c r="G3" s="11"/>
      <c r="H3" s="11">
        <f t="shared" si="0"/>
        <v>0.2567943226274163</v>
      </c>
      <c r="I3" s="11">
        <f t="shared" si="0"/>
        <v>2.0767128575863492E-2</v>
      </c>
      <c r="J3" s="11">
        <f t="shared" si="0"/>
        <v>3.325609380096739E-2</v>
      </c>
    </row>
    <row r="4" spans="1:10" ht="16" x14ac:dyDescent="0.2">
      <c r="A4" s="3" t="s">
        <v>10</v>
      </c>
      <c r="B4" s="4">
        <v>468530761</v>
      </c>
      <c r="C4" s="4">
        <v>604419485</v>
      </c>
      <c r="D4" s="4">
        <v>844420313</v>
      </c>
      <c r="E4" s="4">
        <v>978326344</v>
      </c>
      <c r="F4" s="5">
        <v>1122433151</v>
      </c>
      <c r="G4" s="4">
        <v>223937813</v>
      </c>
      <c r="H4" s="4">
        <v>281443772</v>
      </c>
      <c r="I4" s="4">
        <v>287288551</v>
      </c>
      <c r="J4" s="4">
        <v>296842646</v>
      </c>
    </row>
    <row r="5" spans="1:10" ht="16" x14ac:dyDescent="0.2">
      <c r="A5" s="3" t="s">
        <v>11</v>
      </c>
      <c r="B5" s="4">
        <v>292244659</v>
      </c>
      <c r="C5" s="4">
        <v>370976031</v>
      </c>
      <c r="D5" s="4">
        <v>538105421</v>
      </c>
      <c r="E5" s="4">
        <v>630880800</v>
      </c>
      <c r="F5" s="5">
        <v>729934868</v>
      </c>
      <c r="G5" s="4">
        <v>145835008</v>
      </c>
      <c r="H5" s="4">
        <v>179539803</v>
      </c>
      <c r="I5" s="4">
        <v>187123411</v>
      </c>
      <c r="J5" s="4">
        <v>196081127</v>
      </c>
    </row>
    <row r="6" spans="1:10" ht="16" x14ac:dyDescent="0.2">
      <c r="A6" s="3" t="s">
        <v>12</v>
      </c>
      <c r="B6" s="4">
        <v>292244659</v>
      </c>
      <c r="C6" s="4">
        <v>370976031</v>
      </c>
      <c r="D6" s="4">
        <v>538105421</v>
      </c>
      <c r="E6" s="4">
        <v>630880800</v>
      </c>
      <c r="F6" s="5">
        <v>729934868</v>
      </c>
      <c r="G6" s="4">
        <v>145835008</v>
      </c>
      <c r="H6" s="4">
        <v>179539803</v>
      </c>
      <c r="I6" s="4">
        <v>187123411</v>
      </c>
      <c r="J6" s="4">
        <v>196081127</v>
      </c>
    </row>
    <row r="7" spans="1:10" ht="16" x14ac:dyDescent="0.2">
      <c r="A7" s="36" t="s">
        <v>13</v>
      </c>
      <c r="B7" s="34">
        <v>176286102</v>
      </c>
      <c r="C7" s="34">
        <v>233443454</v>
      </c>
      <c r="D7" s="34">
        <v>306314893</v>
      </c>
      <c r="E7" s="34">
        <v>347445544</v>
      </c>
      <c r="F7" s="35">
        <v>392498282</v>
      </c>
      <c r="G7" s="34">
        <v>78102805</v>
      </c>
      <c r="H7" s="34">
        <v>101903969</v>
      </c>
      <c r="I7" s="34">
        <v>100165141</v>
      </c>
      <c r="J7" s="34">
        <v>100761518</v>
      </c>
    </row>
    <row r="8" spans="1:10" ht="16" x14ac:dyDescent="0.2">
      <c r="A8" s="31" t="s">
        <v>49</v>
      </c>
      <c r="B8" s="32">
        <v>37.630000000000003</v>
      </c>
      <c r="C8" s="32">
        <v>38.619999999999997</v>
      </c>
      <c r="D8" s="32">
        <v>36.28</v>
      </c>
      <c r="E8" s="32">
        <v>35.51</v>
      </c>
      <c r="F8" s="33">
        <v>34.97</v>
      </c>
      <c r="G8" s="32">
        <v>34.880000000000003</v>
      </c>
      <c r="H8" s="32">
        <v>36.21</v>
      </c>
      <c r="I8" s="32">
        <v>34.869999999999997</v>
      </c>
      <c r="J8" s="32">
        <v>33.94</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96889557</v>
      </c>
      <c r="C10" s="4">
        <v>115938039</v>
      </c>
      <c r="D10" s="4">
        <v>169064651</v>
      </c>
      <c r="E10" s="4">
        <v>204490977</v>
      </c>
      <c r="F10" s="5">
        <v>230218528</v>
      </c>
      <c r="G10" s="4">
        <v>49605690</v>
      </c>
      <c r="H10" s="4">
        <v>56899220</v>
      </c>
      <c r="I10" s="4">
        <v>56023815</v>
      </c>
      <c r="J10" s="4">
        <v>60550519</v>
      </c>
    </row>
    <row r="11" spans="1:10" ht="16" x14ac:dyDescent="0.2">
      <c r="A11" s="31" t="s">
        <v>17</v>
      </c>
      <c r="B11" s="34">
        <v>27843569</v>
      </c>
      <c r="C11" s="34">
        <v>31409904</v>
      </c>
      <c r="D11" s="34">
        <v>44355490</v>
      </c>
      <c r="E11" s="34">
        <v>60472364</v>
      </c>
      <c r="F11" s="35">
        <v>71272870</v>
      </c>
      <c r="G11" s="34">
        <v>14105038</v>
      </c>
      <c r="H11" s="34">
        <v>17929754</v>
      </c>
      <c r="I11" s="34">
        <v>17719979</v>
      </c>
      <c r="J11" s="34">
        <v>19441626</v>
      </c>
    </row>
    <row r="12" spans="1:10" ht="16" x14ac:dyDescent="0.2">
      <c r="A12" s="12" t="s">
        <v>183</v>
      </c>
      <c r="B12" s="13">
        <f t="shared" ref="B12:J12" si="1">B11/B2</f>
        <v>5.9427408652043656E-2</v>
      </c>
      <c r="C12" s="13">
        <f t="shared" si="1"/>
        <v>5.196706059203237E-2</v>
      </c>
      <c r="D12" s="13">
        <f t="shared" si="1"/>
        <v>5.2527739227893257E-2</v>
      </c>
      <c r="E12" s="13">
        <f t="shared" si="1"/>
        <v>6.1812057265831943E-2</v>
      </c>
      <c r="F12" s="13">
        <f t="shared" si="1"/>
        <v>6.3498543264248267E-2</v>
      </c>
      <c r="G12" s="13">
        <f t="shared" si="1"/>
        <v>6.2986405962623199E-2</v>
      </c>
      <c r="H12" s="13">
        <f t="shared" si="1"/>
        <v>6.3706344868061246E-2</v>
      </c>
      <c r="I12" s="13">
        <f t="shared" si="1"/>
        <v>6.1680073704016139E-2</v>
      </c>
      <c r="J12" s="13">
        <f t="shared" si="1"/>
        <v>6.5494720054476263E-2</v>
      </c>
    </row>
    <row r="13" spans="1:10" ht="16" x14ac:dyDescent="0.2">
      <c r="A13" s="31" t="s">
        <v>18</v>
      </c>
      <c r="B13" s="34">
        <v>0</v>
      </c>
      <c r="C13" s="34">
        <v>0</v>
      </c>
      <c r="D13" s="34">
        <v>0</v>
      </c>
      <c r="E13" s="34">
        <v>0</v>
      </c>
      <c r="F13" s="35">
        <v>0</v>
      </c>
      <c r="G13" s="34">
        <v>0</v>
      </c>
      <c r="H13" s="34">
        <v>0</v>
      </c>
      <c r="I13" s="34">
        <v>0</v>
      </c>
      <c r="J13" s="34">
        <v>0</v>
      </c>
    </row>
    <row r="14" spans="1:10" ht="16" x14ac:dyDescent="0.2">
      <c r="A14" s="14" t="s">
        <v>184</v>
      </c>
      <c r="B14" s="15">
        <f t="shared" ref="B14:J14" si="2">B13/B2</f>
        <v>0</v>
      </c>
      <c r="C14" s="15">
        <f t="shared" si="2"/>
        <v>0</v>
      </c>
      <c r="D14" s="15">
        <f t="shared" si="2"/>
        <v>0</v>
      </c>
      <c r="E14" s="15">
        <f t="shared" si="2"/>
        <v>0</v>
      </c>
      <c r="F14" s="15">
        <f t="shared" si="2"/>
        <v>0</v>
      </c>
      <c r="G14" s="15">
        <f t="shared" si="2"/>
        <v>0</v>
      </c>
      <c r="H14" s="15">
        <f t="shared" si="2"/>
        <v>0</v>
      </c>
      <c r="I14" s="15">
        <f t="shared" si="2"/>
        <v>0</v>
      </c>
      <c r="J14" s="15">
        <f t="shared" si="2"/>
        <v>0</v>
      </c>
    </row>
    <row r="15" spans="1:10" ht="16" x14ac:dyDescent="0.2">
      <c r="A15" s="3" t="s">
        <v>19</v>
      </c>
      <c r="B15" s="4">
        <v>69045989</v>
      </c>
      <c r="C15" s="4">
        <v>84528136</v>
      </c>
      <c r="D15" s="4">
        <v>124709161</v>
      </c>
      <c r="E15" s="4">
        <v>144018613</v>
      </c>
      <c r="F15" s="5">
        <v>158945658</v>
      </c>
      <c r="G15" s="4">
        <v>35500652</v>
      </c>
      <c r="H15" s="4">
        <v>38969466</v>
      </c>
      <c r="I15" s="4">
        <v>38303836</v>
      </c>
      <c r="J15" s="4">
        <v>41108893</v>
      </c>
    </row>
    <row r="16" spans="1:10" ht="16" x14ac:dyDescent="0.2">
      <c r="A16" s="36" t="s">
        <v>20</v>
      </c>
      <c r="B16" s="34">
        <v>79396545</v>
      </c>
      <c r="C16" s="34">
        <v>117505414</v>
      </c>
      <c r="D16" s="34">
        <v>137250242</v>
      </c>
      <c r="E16" s="34">
        <v>142954567</v>
      </c>
      <c r="F16" s="35">
        <v>162279755</v>
      </c>
      <c r="G16" s="34">
        <v>28497115</v>
      </c>
      <c r="H16" s="34">
        <v>45004749</v>
      </c>
      <c r="I16" s="34">
        <v>44141325</v>
      </c>
      <c r="J16" s="34">
        <v>40211000</v>
      </c>
    </row>
    <row r="17" spans="1:10" ht="16" x14ac:dyDescent="0.2">
      <c r="A17" s="31" t="s">
        <v>50</v>
      </c>
      <c r="B17" s="32">
        <v>16.95</v>
      </c>
      <c r="C17" s="32">
        <v>19.440000000000001</v>
      </c>
      <c r="D17" s="32">
        <v>16.25</v>
      </c>
      <c r="E17" s="32">
        <v>14.61</v>
      </c>
      <c r="F17" s="33">
        <v>14.46</v>
      </c>
      <c r="G17" s="32">
        <v>12.73</v>
      </c>
      <c r="H17" s="32">
        <v>15.99</v>
      </c>
      <c r="I17" s="32">
        <v>15.36</v>
      </c>
      <c r="J17" s="32">
        <v>13.55</v>
      </c>
    </row>
    <row r="18" spans="1:10" ht="16" x14ac:dyDescent="0.2">
      <c r="A18" s="16" t="s">
        <v>185</v>
      </c>
      <c r="B18" s="17"/>
      <c r="C18" s="13">
        <f>(C16/B16)-1</f>
        <v>0.47998145259343472</v>
      </c>
      <c r="D18" s="13">
        <f>(D16/C16)-1</f>
        <v>0.1680333469571027</v>
      </c>
      <c r="E18" s="13">
        <f>(E16/D16)-1</f>
        <v>4.1561493203050137E-2</v>
      </c>
      <c r="F18" s="13">
        <f t="shared" ref="F18:J18" si="3">(F16/E16)-1</f>
        <v>0.13518412461771856</v>
      </c>
      <c r="G18" s="13"/>
      <c r="H18" s="13">
        <f t="shared" si="3"/>
        <v>0.57927386684581927</v>
      </c>
      <c r="I18" s="13">
        <f t="shared" si="3"/>
        <v>-1.9185175324497372E-2</v>
      </c>
      <c r="J18" s="13">
        <f t="shared" si="3"/>
        <v>-8.9039579124550516E-2</v>
      </c>
    </row>
    <row r="19" spans="1:10" ht="16" x14ac:dyDescent="0.2">
      <c r="A19" s="3" t="s">
        <v>21</v>
      </c>
      <c r="B19" s="4">
        <v>13498041</v>
      </c>
      <c r="C19" s="4">
        <v>13487257</v>
      </c>
      <c r="D19" s="4">
        <v>2639816919</v>
      </c>
      <c r="E19" s="4">
        <v>31514744</v>
      </c>
      <c r="F19" s="5">
        <v>38449034</v>
      </c>
      <c r="G19" s="4">
        <v>5312656</v>
      </c>
      <c r="H19" s="4">
        <v>14135690</v>
      </c>
      <c r="I19" s="4">
        <v>12126941</v>
      </c>
      <c r="J19" s="4">
        <v>5904494</v>
      </c>
    </row>
    <row r="20" spans="1:10" ht="16" x14ac:dyDescent="0.2">
      <c r="A20" s="3" t="s">
        <v>22</v>
      </c>
      <c r="B20" s="4">
        <v>3934356</v>
      </c>
      <c r="C20" s="4">
        <v>6390632</v>
      </c>
      <c r="D20" s="4">
        <v>11329960</v>
      </c>
      <c r="E20" s="4">
        <v>13480400</v>
      </c>
      <c r="F20" s="5">
        <v>16846136</v>
      </c>
      <c r="G20" s="4">
        <v>2983042</v>
      </c>
      <c r="H20" s="4">
        <v>5225243</v>
      </c>
      <c r="I20" s="4">
        <v>3803657</v>
      </c>
      <c r="J20" s="4">
        <v>4362910</v>
      </c>
    </row>
    <row r="21" spans="1:10" ht="16" x14ac:dyDescent="0.2">
      <c r="A21" s="3" t="s">
        <v>23</v>
      </c>
      <c r="B21" s="4">
        <v>3934356</v>
      </c>
      <c r="C21" s="4">
        <v>6390632</v>
      </c>
      <c r="D21" s="4">
        <v>11329960</v>
      </c>
      <c r="E21" s="4">
        <v>13480400</v>
      </c>
      <c r="F21" s="5">
        <v>16846136</v>
      </c>
      <c r="G21" s="4">
        <v>2983042</v>
      </c>
      <c r="H21" s="4">
        <v>5225243</v>
      </c>
      <c r="I21" s="4">
        <v>3803657</v>
      </c>
      <c r="J21" s="4">
        <v>4362910</v>
      </c>
    </row>
    <row r="22" spans="1:10" ht="16" x14ac:dyDescent="0.2">
      <c r="A22" s="3" t="s">
        <v>24</v>
      </c>
      <c r="B22" s="4" t="s">
        <v>15</v>
      </c>
      <c r="C22" s="4" t="s">
        <v>15</v>
      </c>
      <c r="D22" s="4" t="s">
        <v>15</v>
      </c>
      <c r="E22" s="4" t="s">
        <v>15</v>
      </c>
      <c r="F22" s="5" t="s">
        <v>15</v>
      </c>
      <c r="G22" s="4" t="s">
        <v>15</v>
      </c>
      <c r="H22" s="4" t="s">
        <v>15</v>
      </c>
      <c r="I22" s="4" t="s">
        <v>15</v>
      </c>
      <c r="J22" s="4" t="s">
        <v>15</v>
      </c>
    </row>
    <row r="23" spans="1:10" ht="16" x14ac:dyDescent="0.2">
      <c r="A23" s="3" t="s">
        <v>25</v>
      </c>
      <c r="B23" s="4">
        <v>9563685</v>
      </c>
      <c r="C23" s="4">
        <v>7096624</v>
      </c>
      <c r="D23" s="4">
        <v>2628486959</v>
      </c>
      <c r="E23" s="4">
        <v>18034344</v>
      </c>
      <c r="F23" s="5">
        <v>21602898</v>
      </c>
      <c r="G23" s="4">
        <v>2329614</v>
      </c>
      <c r="H23" s="4">
        <v>8910447</v>
      </c>
      <c r="I23" s="4">
        <v>8323284</v>
      </c>
      <c r="J23" s="4">
        <v>1541583</v>
      </c>
    </row>
    <row r="24" spans="1:10" ht="16" x14ac:dyDescent="0.2">
      <c r="A24" s="3" t="s">
        <v>26</v>
      </c>
      <c r="B24" s="4">
        <v>65898504</v>
      </c>
      <c r="C24" s="4">
        <v>104018158</v>
      </c>
      <c r="D24" s="4">
        <v>-2502566677</v>
      </c>
      <c r="E24" s="4">
        <v>111439823</v>
      </c>
      <c r="F24" s="5">
        <v>123830721</v>
      </c>
      <c r="G24" s="4">
        <v>23184459</v>
      </c>
      <c r="H24" s="4">
        <v>30869059</v>
      </c>
      <c r="I24" s="4">
        <v>32014385</v>
      </c>
      <c r="J24" s="4">
        <v>34306506</v>
      </c>
    </row>
    <row r="25" spans="1:10" ht="16" x14ac:dyDescent="0.2">
      <c r="A25" s="3" t="s">
        <v>27</v>
      </c>
      <c r="B25" s="4">
        <v>13740501</v>
      </c>
      <c r="C25" s="4">
        <v>26097224</v>
      </c>
      <c r="D25" s="4">
        <v>24563598</v>
      </c>
      <c r="E25" s="4">
        <v>17938292</v>
      </c>
      <c r="F25" s="5">
        <v>23751077</v>
      </c>
      <c r="G25" s="4">
        <v>5138278</v>
      </c>
      <c r="H25" s="4">
        <v>207046</v>
      </c>
      <c r="I25" s="4">
        <v>9058810</v>
      </c>
      <c r="J25" s="4">
        <v>8720366</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52158003</v>
      </c>
      <c r="C27" s="4">
        <v>77920934</v>
      </c>
      <c r="D27" s="4">
        <v>-2527130275</v>
      </c>
      <c r="E27" s="4">
        <v>93501532</v>
      </c>
      <c r="F27" s="5">
        <v>100079643</v>
      </c>
      <c r="G27" s="4">
        <v>18046181</v>
      </c>
      <c r="H27" s="4">
        <v>30662013</v>
      </c>
      <c r="I27" s="4">
        <v>22955575</v>
      </c>
      <c r="J27" s="4">
        <v>25586140</v>
      </c>
    </row>
    <row r="28" spans="1:10" ht="16" x14ac:dyDescent="0.2">
      <c r="A28" s="3" t="s">
        <v>30</v>
      </c>
      <c r="B28" s="4" t="s">
        <v>15</v>
      </c>
      <c r="C28" s="4">
        <v>25938162</v>
      </c>
      <c r="D28" s="4">
        <v>-769182922</v>
      </c>
      <c r="E28" s="4">
        <v>74028538</v>
      </c>
      <c r="F28" s="5">
        <v>75124101</v>
      </c>
      <c r="G28" s="4">
        <v>12905944</v>
      </c>
      <c r="H28" s="4">
        <v>25044024</v>
      </c>
      <c r="I28" s="4">
        <v>15707876</v>
      </c>
      <c r="J28" s="4">
        <v>19376166</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v>25938162</v>
      </c>
      <c r="D30" s="4">
        <v>-769182922</v>
      </c>
      <c r="E30" s="4">
        <v>74028538</v>
      </c>
      <c r="F30" s="5">
        <v>75124101</v>
      </c>
      <c r="G30" s="4">
        <v>12905944</v>
      </c>
      <c r="H30" s="4">
        <v>25044024</v>
      </c>
      <c r="I30" s="4">
        <v>15707876</v>
      </c>
      <c r="J30" s="4">
        <v>19376166</v>
      </c>
    </row>
    <row r="31" spans="1:10" ht="16" x14ac:dyDescent="0.2">
      <c r="A31" s="3" t="s">
        <v>33</v>
      </c>
      <c r="B31" s="4">
        <v>52158003</v>
      </c>
      <c r="C31" s="4">
        <v>51982772</v>
      </c>
      <c r="D31" s="4">
        <v>-1757947353</v>
      </c>
      <c r="E31" s="4">
        <v>19472993</v>
      </c>
      <c r="F31" s="5">
        <v>24955542</v>
      </c>
      <c r="G31" s="4">
        <v>5140237</v>
      </c>
      <c r="H31" s="4">
        <v>5617990</v>
      </c>
      <c r="I31" s="4">
        <v>7247699</v>
      </c>
      <c r="J31" s="4">
        <v>6209974</v>
      </c>
    </row>
    <row r="32" spans="1:10" ht="16" x14ac:dyDescent="0.2">
      <c r="A32" s="3" t="s">
        <v>34</v>
      </c>
      <c r="B32" s="4" t="s">
        <v>15</v>
      </c>
      <c r="C32" s="4">
        <v>-25938162</v>
      </c>
      <c r="D32" s="4">
        <v>384592029</v>
      </c>
      <c r="E32" s="4">
        <v>-37014269</v>
      </c>
      <c r="F32" s="5">
        <v>-37562051</v>
      </c>
      <c r="G32" s="4">
        <v>-6452972</v>
      </c>
      <c r="H32" s="4">
        <v>-12522012</v>
      </c>
      <c r="I32" s="4">
        <v>-7853938</v>
      </c>
      <c r="J32" s="4">
        <v>-9688083</v>
      </c>
    </row>
    <row r="33" spans="1:10" ht="16" x14ac:dyDescent="0.2">
      <c r="A33" s="36" t="s">
        <v>35</v>
      </c>
      <c r="B33" s="34">
        <v>52158003</v>
      </c>
      <c r="C33" s="34">
        <v>77920934</v>
      </c>
      <c r="D33" s="34">
        <v>-2142539383</v>
      </c>
      <c r="E33" s="34">
        <v>56487262</v>
      </c>
      <c r="F33" s="35">
        <v>62517592</v>
      </c>
      <c r="G33" s="34">
        <v>11593209</v>
      </c>
      <c r="H33" s="34">
        <v>18140002</v>
      </c>
      <c r="I33" s="34">
        <v>15101637</v>
      </c>
      <c r="J33" s="34">
        <v>15898057</v>
      </c>
    </row>
    <row r="34" spans="1:10" ht="16" x14ac:dyDescent="0.2">
      <c r="A34" s="31" t="s">
        <v>51</v>
      </c>
      <c r="B34" s="32">
        <v>11.13</v>
      </c>
      <c r="C34" s="32">
        <v>12.89</v>
      </c>
      <c r="D34" s="32">
        <v>-253.73</v>
      </c>
      <c r="E34" s="32">
        <v>5.77</v>
      </c>
      <c r="F34" s="33">
        <v>5.57</v>
      </c>
      <c r="G34" s="32">
        <v>5.18</v>
      </c>
      <c r="H34" s="32">
        <v>6.45</v>
      </c>
      <c r="I34" s="32">
        <v>5.26</v>
      </c>
      <c r="J34" s="32">
        <v>5.36</v>
      </c>
    </row>
    <row r="35" spans="1:10" ht="16" x14ac:dyDescent="0.2">
      <c r="A35" s="18" t="s">
        <v>186</v>
      </c>
      <c r="B35" s="19"/>
      <c r="C35" s="15">
        <f>(C33/B33)-1</f>
        <v>0.49394013417269833</v>
      </c>
      <c r="D35" s="15">
        <f>(D33/C33)-1</f>
        <v>-28.496325737060594</v>
      </c>
      <c r="E35" s="15">
        <f>(E33/D33)-1</f>
        <v>-1.026364631823433</v>
      </c>
      <c r="F35" s="15">
        <f t="shared" ref="F35:J35" si="4">(F33/E33)-1</f>
        <v>0.10675557261033464</v>
      </c>
      <c r="G35" s="15"/>
      <c r="H35" s="15">
        <f t="shared" si="4"/>
        <v>0.56470930524930596</v>
      </c>
      <c r="I35" s="15">
        <f t="shared" si="4"/>
        <v>-0.16749529575575572</v>
      </c>
      <c r="J35" s="15">
        <f t="shared" si="4"/>
        <v>5.2737329072338301E-2</v>
      </c>
    </row>
    <row r="36" spans="1:10" ht="16" x14ac:dyDescent="0.2">
      <c r="A36" s="20" t="s">
        <v>187</v>
      </c>
      <c r="B36" s="21">
        <f t="shared" ref="B36:J36" si="5">(B16*(1-0.25))/(B126+B105+B96)</f>
        <v>0.16279191137934579</v>
      </c>
      <c r="C36" s="21">
        <f t="shared" si="5"/>
        <v>0.19581014502754232</v>
      </c>
      <c r="D36" s="21">
        <f t="shared" si="5"/>
        <v>0.15538573361998376</v>
      </c>
      <c r="E36" s="21">
        <f t="shared" si="5"/>
        <v>0.12610115399020003</v>
      </c>
      <c r="F36" s="21">
        <f t="shared" si="5"/>
        <v>0.13323078533758653</v>
      </c>
      <c r="G36" s="21">
        <f t="shared" si="5"/>
        <v>2.7292635082119248E-2</v>
      </c>
      <c r="H36" s="21">
        <f t="shared" si="5"/>
        <v>3.9698982012511014E-2</v>
      </c>
      <c r="I36" s="21">
        <f t="shared" si="5"/>
        <v>4.1048847208698752E-2</v>
      </c>
      <c r="J36" s="21">
        <f t="shared" si="5"/>
        <v>3.3013009596974632E-2</v>
      </c>
    </row>
    <row r="37" spans="1:10" ht="16" x14ac:dyDescent="0.2">
      <c r="A37" s="3" t="s">
        <v>36</v>
      </c>
      <c r="B37" s="4" t="s">
        <v>15</v>
      </c>
      <c r="C37" s="4" t="s">
        <v>15</v>
      </c>
      <c r="D37" s="4">
        <v>29261386</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52158003</v>
      </c>
      <c r="C39" s="4">
        <v>77920934</v>
      </c>
      <c r="D39" s="4">
        <v>-2171800769</v>
      </c>
      <c r="E39" s="4">
        <v>56487262</v>
      </c>
      <c r="F39" s="5">
        <v>62517592</v>
      </c>
      <c r="G39" s="4">
        <v>11593209</v>
      </c>
      <c r="H39" s="4">
        <v>18140002</v>
      </c>
      <c r="I39" s="4">
        <v>15101637</v>
      </c>
      <c r="J39" s="4">
        <v>15898057</v>
      </c>
    </row>
    <row r="40" spans="1:10" ht="16" x14ac:dyDescent="0.2">
      <c r="A40" s="3" t="s">
        <v>39</v>
      </c>
      <c r="B40" s="4">
        <v>39412000</v>
      </c>
      <c r="C40" s="4">
        <v>39412000</v>
      </c>
      <c r="D40" s="4">
        <v>63319000</v>
      </c>
      <c r="E40" s="4">
        <v>80489000</v>
      </c>
      <c r="F40" s="5">
        <v>81426500</v>
      </c>
      <c r="G40" s="4">
        <v>80477000</v>
      </c>
      <c r="H40" s="4">
        <v>81449000</v>
      </c>
      <c r="I40" s="4">
        <v>81890000</v>
      </c>
      <c r="J40" s="4">
        <v>81890000</v>
      </c>
    </row>
    <row r="41" spans="1:10" ht="16" x14ac:dyDescent="0.2">
      <c r="A41" s="3" t="s">
        <v>40</v>
      </c>
      <c r="B41" s="6">
        <v>1.32</v>
      </c>
      <c r="C41" s="6">
        <v>1.98</v>
      </c>
      <c r="D41" s="6">
        <v>-34.299999999999997</v>
      </c>
      <c r="E41" s="6">
        <v>0.7</v>
      </c>
      <c r="F41" s="7">
        <v>0.76</v>
      </c>
      <c r="G41" s="6">
        <v>0.15</v>
      </c>
      <c r="H41" s="6">
        <v>0.22</v>
      </c>
      <c r="I41" s="6">
        <v>0.18</v>
      </c>
      <c r="J41" s="6">
        <v>0.2</v>
      </c>
    </row>
    <row r="42" spans="1:10" ht="16" x14ac:dyDescent="0.2">
      <c r="A42" s="3" t="s">
        <v>41</v>
      </c>
      <c r="B42" s="6">
        <v>1.32</v>
      </c>
      <c r="C42" s="6">
        <v>1.98</v>
      </c>
      <c r="D42" s="6">
        <v>-39.92</v>
      </c>
      <c r="E42" s="6">
        <v>1.1599999999999999</v>
      </c>
      <c r="F42" s="7">
        <v>1.23</v>
      </c>
      <c r="G42" s="6">
        <v>0.23</v>
      </c>
      <c r="H42" s="6">
        <v>0.37</v>
      </c>
      <c r="I42" s="6">
        <v>0.28000000000000003</v>
      </c>
      <c r="J42" s="6">
        <v>0.32</v>
      </c>
    </row>
    <row r="43" spans="1:10" ht="16" x14ac:dyDescent="0.2">
      <c r="A43" s="3" t="s">
        <v>42</v>
      </c>
      <c r="B43" s="4">
        <v>39412000</v>
      </c>
      <c r="C43" s="4">
        <v>39412000</v>
      </c>
      <c r="D43" s="4">
        <v>129682000</v>
      </c>
      <c r="E43" s="4">
        <v>129842000</v>
      </c>
      <c r="F43" s="5">
        <v>129842000</v>
      </c>
      <c r="G43" s="4">
        <v>129842000</v>
      </c>
      <c r="H43" s="4">
        <v>129842000</v>
      </c>
      <c r="I43" s="4">
        <v>129842000</v>
      </c>
      <c r="J43" s="4">
        <v>129842000</v>
      </c>
    </row>
    <row r="44" spans="1:10" ht="16" x14ac:dyDescent="0.2">
      <c r="A44" s="3" t="s">
        <v>43</v>
      </c>
      <c r="B44" s="6">
        <v>1.32</v>
      </c>
      <c r="C44" s="6">
        <v>1.98</v>
      </c>
      <c r="D44" s="6">
        <v>-16.75</v>
      </c>
      <c r="E44" s="6">
        <v>0.44</v>
      </c>
      <c r="F44" s="7">
        <v>0.48</v>
      </c>
      <c r="G44" s="6">
        <v>0.09</v>
      </c>
      <c r="H44" s="6">
        <v>0.14000000000000001</v>
      </c>
      <c r="I44" s="6">
        <v>0.12</v>
      </c>
      <c r="J44" s="6">
        <v>0.12</v>
      </c>
    </row>
    <row r="45" spans="1:10" ht="16" x14ac:dyDescent="0.2">
      <c r="A45" s="3" t="s">
        <v>44</v>
      </c>
      <c r="B45" s="6">
        <v>1.32</v>
      </c>
      <c r="C45" s="6">
        <v>1.98</v>
      </c>
      <c r="D45" s="6">
        <v>-19.489999999999998</v>
      </c>
      <c r="E45" s="6">
        <v>0.72</v>
      </c>
      <c r="F45" s="7">
        <v>0.77</v>
      </c>
      <c r="G45" s="6">
        <v>0.14000000000000001</v>
      </c>
      <c r="H45" s="6">
        <v>0.23</v>
      </c>
      <c r="I45" s="6">
        <v>0.17</v>
      </c>
      <c r="J45" s="6">
        <v>0.2</v>
      </c>
    </row>
    <row r="46" spans="1:10" ht="16" x14ac:dyDescent="0.2">
      <c r="A46" s="3" t="s">
        <v>45</v>
      </c>
      <c r="B46" s="4">
        <v>148442533</v>
      </c>
      <c r="C46" s="4">
        <v>202033550</v>
      </c>
      <c r="D46" s="4">
        <v>261959403</v>
      </c>
      <c r="E46" s="4">
        <v>286973180</v>
      </c>
      <c r="F46" s="5">
        <v>321225412</v>
      </c>
      <c r="G46" s="4">
        <v>63997767</v>
      </c>
      <c r="H46" s="4">
        <v>83974215</v>
      </c>
      <c r="I46" s="4">
        <v>82445162</v>
      </c>
      <c r="J46" s="4">
        <v>81319892</v>
      </c>
    </row>
    <row r="47" spans="1:10" ht="16" x14ac:dyDescent="0.2">
      <c r="A47" s="3" t="s">
        <v>46</v>
      </c>
      <c r="B47" s="6">
        <v>31.68</v>
      </c>
      <c r="C47" s="6">
        <v>33.43</v>
      </c>
      <c r="D47" s="6">
        <v>31.02</v>
      </c>
      <c r="E47" s="6">
        <v>29.33</v>
      </c>
      <c r="F47" s="7">
        <v>28.62</v>
      </c>
      <c r="G47" s="6">
        <v>30.01</v>
      </c>
      <c r="H47" s="6">
        <v>29.33</v>
      </c>
      <c r="I47" s="6">
        <v>28.91</v>
      </c>
      <c r="J47" s="6">
        <v>28.62</v>
      </c>
    </row>
    <row r="48" spans="1:10" ht="16" x14ac:dyDescent="0.2">
      <c r="A48" s="3" t="s">
        <v>47</v>
      </c>
      <c r="B48" s="4">
        <v>79396545</v>
      </c>
      <c r="C48" s="4">
        <v>117505414</v>
      </c>
      <c r="D48" s="4">
        <v>137250242</v>
      </c>
      <c r="E48" s="4">
        <v>142954567</v>
      </c>
      <c r="F48" s="5">
        <v>162279755</v>
      </c>
      <c r="G48" s="4">
        <v>28497115</v>
      </c>
      <c r="H48" s="4">
        <v>45004749</v>
      </c>
      <c r="I48" s="4">
        <v>44141325</v>
      </c>
      <c r="J48" s="4">
        <v>40211000</v>
      </c>
    </row>
    <row r="49" spans="1:10" ht="16" x14ac:dyDescent="0.2">
      <c r="A49" s="3" t="s">
        <v>48</v>
      </c>
      <c r="B49" s="4">
        <v>79396545</v>
      </c>
      <c r="C49" s="4">
        <v>117505414</v>
      </c>
      <c r="D49" s="4">
        <v>137250242</v>
      </c>
      <c r="E49" s="4">
        <v>142954567</v>
      </c>
      <c r="F49" s="5">
        <v>162279755</v>
      </c>
      <c r="G49" s="4">
        <v>28497115</v>
      </c>
      <c r="H49" s="4">
        <v>45004749</v>
      </c>
      <c r="I49" s="4">
        <v>44141325</v>
      </c>
      <c r="J49" s="4">
        <v>40211000</v>
      </c>
    </row>
    <row r="50" spans="1:10" ht="16" x14ac:dyDescent="0.2">
      <c r="A50" s="3" t="s">
        <v>52</v>
      </c>
      <c r="B50" s="4" t="s">
        <v>15</v>
      </c>
      <c r="C50" s="4" t="s">
        <v>15</v>
      </c>
      <c r="D50" s="4" t="s">
        <v>15</v>
      </c>
      <c r="E50" s="4" t="s">
        <v>15</v>
      </c>
      <c r="F50" s="5" t="s">
        <v>15</v>
      </c>
      <c r="G50" s="4" t="s">
        <v>15</v>
      </c>
      <c r="H50" s="4" t="s">
        <v>15</v>
      </c>
      <c r="I50" s="4" t="s">
        <v>15</v>
      </c>
      <c r="J50" s="4" t="s">
        <v>15</v>
      </c>
    </row>
    <row r="51" spans="1:10" ht="16" x14ac:dyDescent="0.2">
      <c r="A51" s="3" t="s">
        <v>53</v>
      </c>
      <c r="B51" s="4" t="s">
        <v>15</v>
      </c>
      <c r="C51" s="4" t="s">
        <v>15</v>
      </c>
      <c r="D51" s="6">
        <v>0.66</v>
      </c>
      <c r="E51" s="6">
        <v>0.89</v>
      </c>
      <c r="F51" s="5" t="s">
        <v>15</v>
      </c>
      <c r="G51" s="4" t="s">
        <v>15</v>
      </c>
      <c r="H51" s="4" t="s">
        <v>15</v>
      </c>
      <c r="I51" s="4" t="s">
        <v>15</v>
      </c>
      <c r="J51" s="4" t="s">
        <v>15</v>
      </c>
    </row>
    <row r="52" spans="1:10" ht="16" x14ac:dyDescent="0.2">
      <c r="A52" s="3" t="s">
        <v>54</v>
      </c>
      <c r="B52" s="4">
        <v>69045989</v>
      </c>
      <c r="C52" s="4">
        <v>84528136</v>
      </c>
      <c r="D52" s="4">
        <v>124709161</v>
      </c>
      <c r="E52" s="4">
        <v>144018613</v>
      </c>
      <c r="F52" s="5">
        <v>158945658</v>
      </c>
      <c r="G52" s="4">
        <v>35500652</v>
      </c>
      <c r="H52" s="4">
        <v>38969466</v>
      </c>
      <c r="I52" s="4">
        <v>38303836</v>
      </c>
      <c r="J52" s="4">
        <v>41108893</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104731330</v>
      </c>
      <c r="C55" s="4">
        <v>158724566</v>
      </c>
      <c r="D55" s="4">
        <v>228565418</v>
      </c>
      <c r="E55" s="4">
        <v>330627862</v>
      </c>
      <c r="F55" s="5">
        <v>447742176</v>
      </c>
      <c r="G55" s="4">
        <v>293957504</v>
      </c>
      <c r="H55" s="4">
        <v>330627862</v>
      </c>
      <c r="I55" s="4">
        <v>477443154</v>
      </c>
      <c r="J55" s="4">
        <v>447742176</v>
      </c>
    </row>
    <row r="56" spans="1:10" ht="16" x14ac:dyDescent="0.2">
      <c r="A56" s="3" t="s">
        <v>56</v>
      </c>
      <c r="B56" s="4">
        <v>32009160</v>
      </c>
      <c r="C56" s="4">
        <v>68074980</v>
      </c>
      <c r="D56" s="4">
        <v>85668960</v>
      </c>
      <c r="E56" s="4">
        <v>145971675</v>
      </c>
      <c r="F56" s="5">
        <v>187997906</v>
      </c>
      <c r="G56" s="4">
        <v>133035846</v>
      </c>
      <c r="H56" s="4">
        <v>145971675</v>
      </c>
      <c r="I56" s="4">
        <v>214320482</v>
      </c>
      <c r="J56" s="4">
        <v>187997906</v>
      </c>
    </row>
    <row r="57" spans="1:10" ht="16" x14ac:dyDescent="0.2">
      <c r="A57" s="3" t="s">
        <v>57</v>
      </c>
      <c r="B57" s="4">
        <v>31470360</v>
      </c>
      <c r="C57" s="4">
        <v>68072532</v>
      </c>
      <c r="D57" s="4">
        <v>85661000</v>
      </c>
      <c r="E57" s="4">
        <v>145969541</v>
      </c>
      <c r="F57" s="5">
        <v>187995724</v>
      </c>
      <c r="G57" s="4">
        <v>133033887</v>
      </c>
      <c r="H57" s="4">
        <v>145969541</v>
      </c>
      <c r="I57" s="4">
        <v>214318309</v>
      </c>
      <c r="J57" s="4">
        <v>187995724</v>
      </c>
    </row>
    <row r="58" spans="1:10" ht="16" x14ac:dyDescent="0.2">
      <c r="A58" s="3" t="s">
        <v>58</v>
      </c>
      <c r="B58" s="4">
        <v>538799</v>
      </c>
      <c r="C58" s="4">
        <v>2447</v>
      </c>
      <c r="D58" s="4">
        <v>7960</v>
      </c>
      <c r="E58" s="4">
        <v>2134</v>
      </c>
      <c r="F58" s="5">
        <v>2182</v>
      </c>
      <c r="G58" s="4">
        <v>1959</v>
      </c>
      <c r="H58" s="4">
        <v>2134</v>
      </c>
      <c r="I58" s="4">
        <v>2173</v>
      </c>
      <c r="J58" s="4">
        <v>2182</v>
      </c>
    </row>
    <row r="59" spans="1:10" ht="16" x14ac:dyDescent="0.2">
      <c r="A59" s="3" t="s">
        <v>59</v>
      </c>
      <c r="B59" s="4">
        <v>61526373</v>
      </c>
      <c r="C59" s="4">
        <v>75640226</v>
      </c>
      <c r="D59" s="4">
        <v>120227441</v>
      </c>
      <c r="E59" s="4">
        <v>154791407</v>
      </c>
      <c r="F59" s="5">
        <v>218156428</v>
      </c>
      <c r="G59" s="4">
        <v>133201407</v>
      </c>
      <c r="H59" s="4">
        <v>154791407</v>
      </c>
      <c r="I59" s="4">
        <v>225215389</v>
      </c>
      <c r="J59" s="4">
        <v>218156428</v>
      </c>
    </row>
    <row r="60" spans="1:10" ht="16" x14ac:dyDescent="0.2">
      <c r="A60" s="3" t="s">
        <v>60</v>
      </c>
      <c r="B60" s="4">
        <v>47978942</v>
      </c>
      <c r="C60" s="4">
        <v>57071541</v>
      </c>
      <c r="D60" s="4">
        <v>80429863</v>
      </c>
      <c r="E60" s="4">
        <v>102231614</v>
      </c>
      <c r="F60" s="5">
        <v>142327540</v>
      </c>
      <c r="G60" s="4">
        <v>81489464</v>
      </c>
      <c r="H60" s="4">
        <v>102231614</v>
      </c>
      <c r="I60" s="4">
        <v>156364961</v>
      </c>
      <c r="J60" s="4">
        <v>142327540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v>13547431</v>
      </c>
      <c r="C63" s="4">
        <v>18568684</v>
      </c>
      <c r="D63" s="4">
        <v>39797578</v>
      </c>
      <c r="E63" s="4">
        <v>52559793</v>
      </c>
      <c r="F63" s="5">
        <v>75828888</v>
      </c>
      <c r="G63" s="4">
        <v>51711943</v>
      </c>
      <c r="H63" s="4">
        <v>52559793</v>
      </c>
      <c r="I63" s="4">
        <v>68850429</v>
      </c>
      <c r="J63" s="4">
        <v>75828888</v>
      </c>
    </row>
    <row r="64" spans="1:10" ht="16" x14ac:dyDescent="0.2">
      <c r="A64" s="3" t="s">
        <v>64</v>
      </c>
      <c r="B64" s="4">
        <v>448999</v>
      </c>
      <c r="C64" s="4">
        <v>458833</v>
      </c>
      <c r="D64" s="4">
        <v>648206</v>
      </c>
      <c r="E64" s="4">
        <v>1514424</v>
      </c>
      <c r="F64" s="5">
        <v>4656389</v>
      </c>
      <c r="G64" s="4">
        <v>1308816</v>
      </c>
      <c r="H64" s="4">
        <v>1514424</v>
      </c>
      <c r="I64" s="4">
        <v>1609031</v>
      </c>
      <c r="J64" s="4">
        <v>4656389</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v>448999</v>
      </c>
      <c r="C69" s="4">
        <v>458833</v>
      </c>
      <c r="D69" s="4">
        <v>648206</v>
      </c>
      <c r="E69" s="4">
        <v>1514424</v>
      </c>
      <c r="F69" s="5">
        <v>4656389</v>
      </c>
      <c r="G69" s="4">
        <v>1308816</v>
      </c>
      <c r="H69" s="4">
        <v>1514424</v>
      </c>
      <c r="I69" s="4">
        <v>1609031</v>
      </c>
      <c r="J69" s="4">
        <v>4656389</v>
      </c>
    </row>
    <row r="70" spans="1:10" ht="16" x14ac:dyDescent="0.2">
      <c r="A70" s="3" t="s">
        <v>70</v>
      </c>
      <c r="B70" s="4">
        <v>10746798</v>
      </c>
      <c r="C70" s="4">
        <v>14550527</v>
      </c>
      <c r="D70" s="4">
        <v>22020811</v>
      </c>
      <c r="E70" s="4">
        <v>28350356</v>
      </c>
      <c r="F70" s="5">
        <v>36931453</v>
      </c>
      <c r="G70" s="4">
        <v>26411435</v>
      </c>
      <c r="H70" s="4">
        <v>28350356</v>
      </c>
      <c r="I70" s="4">
        <v>36298252</v>
      </c>
      <c r="J70" s="4">
        <v>36931453</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505395848</v>
      </c>
      <c r="C76" s="4">
        <v>625744841</v>
      </c>
      <c r="D76" s="4">
        <v>940842671</v>
      </c>
      <c r="E76" s="4">
        <v>1051237474</v>
      </c>
      <c r="F76" s="5">
        <v>1134414517</v>
      </c>
      <c r="G76" s="4">
        <v>977700172</v>
      </c>
      <c r="H76" s="4">
        <v>1051237474</v>
      </c>
      <c r="I76" s="4">
        <v>1075646170</v>
      </c>
      <c r="J76" s="4">
        <v>1134414517</v>
      </c>
    </row>
    <row r="77" spans="1:10" ht="16" x14ac:dyDescent="0.2">
      <c r="A77" s="3" t="s">
        <v>77</v>
      </c>
      <c r="B77" s="4">
        <v>57482012</v>
      </c>
      <c r="C77" s="4">
        <v>72556865</v>
      </c>
      <c r="D77" s="4">
        <v>79271053</v>
      </c>
      <c r="E77" s="4">
        <v>78967759</v>
      </c>
      <c r="F77" s="5">
        <v>85415508</v>
      </c>
      <c r="G77" s="4">
        <v>74631896</v>
      </c>
      <c r="H77" s="4">
        <v>78967759</v>
      </c>
      <c r="I77" s="4">
        <v>79982183</v>
      </c>
      <c r="J77" s="4">
        <v>85415508</v>
      </c>
    </row>
    <row r="78" spans="1:10" ht="16" x14ac:dyDescent="0.2">
      <c r="A78" s="3" t="s">
        <v>78</v>
      </c>
      <c r="B78" s="4">
        <v>88565110</v>
      </c>
      <c r="C78" s="4">
        <v>124075910</v>
      </c>
      <c r="D78" s="4">
        <v>150773868</v>
      </c>
      <c r="E78" s="4">
        <v>160777596</v>
      </c>
      <c r="F78" s="5">
        <v>85415508</v>
      </c>
      <c r="G78" s="4">
        <v>74631896</v>
      </c>
      <c r="H78" s="4">
        <v>160777596</v>
      </c>
      <c r="I78" s="4">
        <v>79982183</v>
      </c>
      <c r="J78" s="4">
        <v>85415508</v>
      </c>
    </row>
    <row r="79" spans="1:10" ht="16" x14ac:dyDescent="0.2">
      <c r="A79" s="3" t="s">
        <v>79</v>
      </c>
      <c r="B79" s="4">
        <v>31083098</v>
      </c>
      <c r="C79" s="4">
        <v>51519045</v>
      </c>
      <c r="D79" s="4">
        <v>71502815</v>
      </c>
      <c r="E79" s="4">
        <v>81809838</v>
      </c>
      <c r="F79" s="5" t="s">
        <v>15</v>
      </c>
      <c r="G79" s="4" t="s">
        <v>15</v>
      </c>
      <c r="H79" s="4">
        <v>81809838</v>
      </c>
      <c r="I79" s="4" t="s">
        <v>15</v>
      </c>
      <c r="J79" s="4" t="s">
        <v>15</v>
      </c>
    </row>
    <row r="80" spans="1:10" ht="16" x14ac:dyDescent="0.2">
      <c r="A80" s="3" t="s">
        <v>80</v>
      </c>
      <c r="B80" s="4">
        <v>106637</v>
      </c>
      <c r="C80" s="4">
        <v>126026</v>
      </c>
      <c r="D80" s="4">
        <v>1134929</v>
      </c>
      <c r="E80" s="4">
        <v>2273237</v>
      </c>
      <c r="F80" s="5">
        <v>2370744</v>
      </c>
      <c r="G80" s="4">
        <v>1438130</v>
      </c>
      <c r="H80" s="4">
        <v>2273237</v>
      </c>
      <c r="I80" s="4">
        <v>2305444</v>
      </c>
      <c r="J80" s="4">
        <v>2370744</v>
      </c>
    </row>
    <row r="81" spans="1:10" ht="16" x14ac:dyDescent="0.2">
      <c r="A81" s="3" t="s">
        <v>81</v>
      </c>
      <c r="B81" s="4">
        <v>106637</v>
      </c>
      <c r="C81" s="4">
        <v>126026</v>
      </c>
      <c r="D81" s="4">
        <v>1134929</v>
      </c>
      <c r="E81" s="4">
        <v>2273237</v>
      </c>
      <c r="F81" s="5">
        <v>2370744</v>
      </c>
      <c r="G81" s="4">
        <v>1438130</v>
      </c>
      <c r="H81" s="4">
        <v>2273237</v>
      </c>
      <c r="I81" s="4">
        <v>2305444</v>
      </c>
      <c r="J81" s="4">
        <v>2370744</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447807199</v>
      </c>
      <c r="C83" s="4">
        <v>553061949</v>
      </c>
      <c r="D83" s="4">
        <v>860436689</v>
      </c>
      <c r="E83" s="4">
        <v>969996479</v>
      </c>
      <c r="F83" s="5">
        <v>1046628265</v>
      </c>
      <c r="G83" s="4">
        <v>901630146</v>
      </c>
      <c r="H83" s="4">
        <v>969996479</v>
      </c>
      <c r="I83" s="4">
        <v>993358543</v>
      </c>
      <c r="J83" s="4">
        <v>1046628265</v>
      </c>
    </row>
    <row r="84" spans="1:10" ht="16" x14ac:dyDescent="0.2">
      <c r="A84" s="3" t="s">
        <v>84</v>
      </c>
      <c r="B84" s="4">
        <v>442020721</v>
      </c>
      <c r="C84" s="4">
        <v>545966549</v>
      </c>
      <c r="D84" s="4">
        <v>846235290</v>
      </c>
      <c r="E84" s="4">
        <v>932775164</v>
      </c>
      <c r="F84" s="5">
        <v>1028047438</v>
      </c>
      <c r="G84" s="4">
        <v>878014640</v>
      </c>
      <c r="H84" s="4">
        <v>932775164</v>
      </c>
      <c r="I84" s="4">
        <v>954211623</v>
      </c>
      <c r="J84" s="4">
        <v>1028047438</v>
      </c>
    </row>
    <row r="85" spans="1:10" ht="16" x14ac:dyDescent="0.2">
      <c r="A85" s="3" t="s">
        <v>85</v>
      </c>
      <c r="B85" s="4">
        <v>120648355</v>
      </c>
      <c r="C85" s="4">
        <v>164530338</v>
      </c>
      <c r="D85" s="4">
        <v>217282084</v>
      </c>
      <c r="E85" s="4">
        <v>237282148</v>
      </c>
      <c r="F85" s="5">
        <v>257438986</v>
      </c>
      <c r="G85" s="4">
        <v>217324178</v>
      </c>
      <c r="H85" s="4">
        <v>237282148</v>
      </c>
      <c r="I85" s="4">
        <v>246165380</v>
      </c>
      <c r="J85" s="4">
        <v>257438986</v>
      </c>
    </row>
    <row r="86" spans="1:10" ht="16" x14ac:dyDescent="0.2">
      <c r="A86" s="3" t="s">
        <v>86</v>
      </c>
      <c r="B86" s="4">
        <v>321372366</v>
      </c>
      <c r="C86" s="4">
        <v>381436210</v>
      </c>
      <c r="D86" s="4">
        <v>628953206</v>
      </c>
      <c r="E86" s="4">
        <v>695493015</v>
      </c>
      <c r="F86" s="5">
        <v>770608452</v>
      </c>
      <c r="G86" s="4">
        <v>660690462</v>
      </c>
      <c r="H86" s="4">
        <v>695493015</v>
      </c>
      <c r="I86" s="4">
        <v>708046242</v>
      </c>
      <c r="J86" s="4">
        <v>770608452</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5786478</v>
      </c>
      <c r="C89" s="4">
        <v>7095401</v>
      </c>
      <c r="D89" s="4">
        <v>14201399</v>
      </c>
      <c r="E89" s="4">
        <v>37221315</v>
      </c>
      <c r="F89" s="5">
        <v>18580827</v>
      </c>
      <c r="G89" s="4">
        <v>23615506</v>
      </c>
      <c r="H89" s="4">
        <v>37221315</v>
      </c>
      <c r="I89" s="4">
        <v>39146921</v>
      </c>
      <c r="J89" s="4">
        <v>18580827</v>
      </c>
    </row>
    <row r="90" spans="1:10" ht="16" x14ac:dyDescent="0.2">
      <c r="A90" s="3" t="s">
        <v>90</v>
      </c>
      <c r="B90" s="4">
        <v>610126055</v>
      </c>
      <c r="C90" s="4">
        <v>784469406</v>
      </c>
      <c r="D90" s="4">
        <v>1169408089</v>
      </c>
      <c r="E90" s="4">
        <v>1381865336</v>
      </c>
      <c r="F90" s="5">
        <v>1582156692</v>
      </c>
      <c r="G90" s="4">
        <v>1271657676</v>
      </c>
      <c r="H90" s="4">
        <v>1381865336</v>
      </c>
      <c r="I90" s="4">
        <v>1553089324</v>
      </c>
      <c r="J90" s="4">
        <v>1582156692</v>
      </c>
    </row>
    <row r="91" spans="1:10" ht="16" x14ac:dyDescent="0.2">
      <c r="A91" s="3" t="s">
        <v>91</v>
      </c>
      <c r="B91" s="4">
        <v>105538406</v>
      </c>
      <c r="C91" s="4">
        <v>149962682</v>
      </c>
      <c r="D91" s="4">
        <v>177709672</v>
      </c>
      <c r="E91" s="4">
        <v>213769624</v>
      </c>
      <c r="F91" s="5">
        <v>211933362</v>
      </c>
      <c r="G91" s="4">
        <v>167455941</v>
      </c>
      <c r="H91" s="4">
        <v>213769624</v>
      </c>
      <c r="I91" s="4">
        <v>233828755</v>
      </c>
      <c r="J91" s="4">
        <v>211933362</v>
      </c>
    </row>
    <row r="92" spans="1:10" ht="16" x14ac:dyDescent="0.2">
      <c r="A92" s="3" t="s">
        <v>92</v>
      </c>
      <c r="B92" s="4">
        <v>95388777</v>
      </c>
      <c r="C92" s="4">
        <v>119157215</v>
      </c>
      <c r="D92" s="4">
        <v>154651732</v>
      </c>
      <c r="E92" s="4">
        <v>186580433</v>
      </c>
      <c r="F92" s="5">
        <v>177689043</v>
      </c>
      <c r="G92" s="4">
        <v>136740892</v>
      </c>
      <c r="H92" s="4">
        <v>186580433</v>
      </c>
      <c r="I92" s="4">
        <v>207391112</v>
      </c>
      <c r="J92" s="4">
        <v>177689043</v>
      </c>
    </row>
    <row r="93" spans="1:10" ht="16" x14ac:dyDescent="0.2">
      <c r="A93" s="3" t="s">
        <v>93</v>
      </c>
      <c r="B93" s="4">
        <v>4018544</v>
      </c>
      <c r="C93" s="4">
        <v>15387439</v>
      </c>
      <c r="D93" s="4">
        <v>12964121</v>
      </c>
      <c r="E93" s="4">
        <v>12238124</v>
      </c>
      <c r="F93" s="5">
        <v>18012416</v>
      </c>
      <c r="G93" s="4">
        <v>16483635</v>
      </c>
      <c r="H93" s="4">
        <v>12238124</v>
      </c>
      <c r="I93" s="4">
        <v>15254827</v>
      </c>
      <c r="J93" s="4">
        <v>18012416</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6131085</v>
      </c>
      <c r="C95" s="4">
        <v>15418028</v>
      </c>
      <c r="D95" s="4">
        <v>10093819</v>
      </c>
      <c r="E95" s="4">
        <v>14951067</v>
      </c>
      <c r="F95" s="5">
        <v>16231903</v>
      </c>
      <c r="G95" s="4">
        <v>14231414</v>
      </c>
      <c r="H95" s="4">
        <v>14951067</v>
      </c>
      <c r="I95" s="4">
        <v>11182817</v>
      </c>
      <c r="J95" s="4">
        <v>16231903</v>
      </c>
    </row>
    <row r="96" spans="1:10" ht="16" x14ac:dyDescent="0.2">
      <c r="A96" s="3" t="s">
        <v>96</v>
      </c>
      <c r="B96" s="4">
        <v>68155848</v>
      </c>
      <c r="C96" s="4">
        <v>40909592</v>
      </c>
      <c r="D96" s="4">
        <v>104439643</v>
      </c>
      <c r="E96" s="4">
        <v>267842773</v>
      </c>
      <c r="F96" s="5">
        <v>237607873</v>
      </c>
      <c r="G96" s="4">
        <v>205425317</v>
      </c>
      <c r="H96" s="4">
        <v>267842773</v>
      </c>
      <c r="I96" s="4">
        <v>187538434</v>
      </c>
      <c r="J96" s="4">
        <v>237607873</v>
      </c>
    </row>
    <row r="97" spans="1:10" ht="16" x14ac:dyDescent="0.2">
      <c r="A97" s="3" t="s">
        <v>97</v>
      </c>
      <c r="B97" s="4">
        <v>55192115</v>
      </c>
      <c r="C97" s="4">
        <v>23837316</v>
      </c>
      <c r="D97" s="4">
        <v>85978280</v>
      </c>
      <c r="E97" s="4">
        <v>247752911</v>
      </c>
      <c r="F97" s="5">
        <v>216573386</v>
      </c>
      <c r="G97" s="4">
        <v>186772731</v>
      </c>
      <c r="H97" s="4">
        <v>247752911</v>
      </c>
      <c r="I97" s="4">
        <v>167565161</v>
      </c>
      <c r="J97" s="4">
        <v>216573386</v>
      </c>
    </row>
    <row r="98" spans="1:10" ht="16" x14ac:dyDescent="0.2">
      <c r="A98" s="3" t="s">
        <v>98</v>
      </c>
      <c r="B98" s="4">
        <v>12963732</v>
      </c>
      <c r="C98" s="4">
        <v>17072275</v>
      </c>
      <c r="D98" s="4">
        <v>18461364</v>
      </c>
      <c r="E98" s="4">
        <v>20089862</v>
      </c>
      <c r="F98" s="5">
        <v>21034487</v>
      </c>
      <c r="G98" s="4">
        <v>18652586</v>
      </c>
      <c r="H98" s="4">
        <v>20089862</v>
      </c>
      <c r="I98" s="4">
        <v>19973273</v>
      </c>
      <c r="J98" s="4">
        <v>21034487</v>
      </c>
    </row>
    <row r="99" spans="1:10" ht="16" x14ac:dyDescent="0.2">
      <c r="A99" s="3" t="s">
        <v>99</v>
      </c>
      <c r="B99" s="4">
        <v>51451951</v>
      </c>
      <c r="C99" s="4">
        <v>74567167</v>
      </c>
      <c r="D99" s="4">
        <v>171360665</v>
      </c>
      <c r="E99" s="4">
        <v>126869017</v>
      </c>
      <c r="F99" s="5">
        <v>265835325</v>
      </c>
      <c r="G99" s="4">
        <v>150546157</v>
      </c>
      <c r="H99" s="4">
        <v>126869017</v>
      </c>
      <c r="I99" s="4">
        <v>314277024</v>
      </c>
      <c r="J99" s="4">
        <v>265835325</v>
      </c>
    </row>
    <row r="100" spans="1:10" ht="16" x14ac:dyDescent="0.2">
      <c r="A100" s="3" t="s">
        <v>100</v>
      </c>
      <c r="B100" s="4">
        <v>49159810</v>
      </c>
      <c r="C100" s="4">
        <v>73071982</v>
      </c>
      <c r="D100" s="4">
        <v>93454256</v>
      </c>
      <c r="E100" s="4">
        <v>124856189</v>
      </c>
      <c r="F100" s="5">
        <v>264000262</v>
      </c>
      <c r="G100" s="4">
        <v>149383309</v>
      </c>
      <c r="H100" s="4">
        <v>124856189</v>
      </c>
      <c r="I100" s="4">
        <v>313101487</v>
      </c>
      <c r="J100" s="4">
        <v>264000262</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2292141</v>
      </c>
      <c r="C103" s="4">
        <v>1495185</v>
      </c>
      <c r="D103" s="4">
        <v>77906408</v>
      </c>
      <c r="E103" s="4">
        <v>2012828</v>
      </c>
      <c r="F103" s="5">
        <v>1835063</v>
      </c>
      <c r="G103" s="4">
        <v>1162848</v>
      </c>
      <c r="H103" s="4">
        <v>2012828</v>
      </c>
      <c r="I103" s="4">
        <v>1175538</v>
      </c>
      <c r="J103" s="4">
        <v>1835063</v>
      </c>
    </row>
    <row r="104" spans="1:10" ht="16" x14ac:dyDescent="0.2">
      <c r="A104" s="3" t="s">
        <v>104</v>
      </c>
      <c r="B104" s="4">
        <v>225146205</v>
      </c>
      <c r="C104" s="4">
        <v>265439441</v>
      </c>
      <c r="D104" s="4">
        <v>453509980</v>
      </c>
      <c r="E104" s="4">
        <v>608481414</v>
      </c>
      <c r="F104" s="5">
        <v>715376560</v>
      </c>
      <c r="G104" s="4">
        <v>523427415</v>
      </c>
      <c r="H104" s="4">
        <v>608481414</v>
      </c>
      <c r="I104" s="4">
        <v>735644213</v>
      </c>
      <c r="J104" s="4">
        <v>715376560</v>
      </c>
    </row>
    <row r="105" spans="1:10" ht="16" x14ac:dyDescent="0.2">
      <c r="A105" s="3" t="s">
        <v>105</v>
      </c>
      <c r="B105" s="4">
        <v>70444621</v>
      </c>
      <c r="C105" s="4">
        <v>85313659</v>
      </c>
      <c r="D105" s="4">
        <v>153599819</v>
      </c>
      <c r="E105" s="4">
        <v>83153502</v>
      </c>
      <c r="F105" s="5">
        <v>115090717</v>
      </c>
      <c r="G105" s="4">
        <v>142178944</v>
      </c>
      <c r="H105" s="4">
        <v>83153502</v>
      </c>
      <c r="I105" s="4">
        <v>88621623</v>
      </c>
      <c r="J105" s="4">
        <v>115090717</v>
      </c>
    </row>
    <row r="106" spans="1:10" ht="16" x14ac:dyDescent="0.2">
      <c r="A106" s="3" t="s">
        <v>106</v>
      </c>
      <c r="B106" s="4">
        <v>36227508</v>
      </c>
      <c r="C106" s="4">
        <v>39853663</v>
      </c>
      <c r="D106" s="4">
        <v>109300052</v>
      </c>
      <c r="E106" s="4">
        <v>44055966</v>
      </c>
      <c r="F106" s="5">
        <v>71795459</v>
      </c>
      <c r="G106" s="4">
        <v>104040088</v>
      </c>
      <c r="H106" s="4">
        <v>44055966</v>
      </c>
      <c r="I106" s="4">
        <v>48819574</v>
      </c>
      <c r="J106" s="4">
        <v>71795459</v>
      </c>
    </row>
    <row r="107" spans="1:10" ht="16" x14ac:dyDescent="0.2">
      <c r="A107" s="3" t="s">
        <v>107</v>
      </c>
      <c r="B107" s="4">
        <v>34217114</v>
      </c>
      <c r="C107" s="4">
        <v>45459996</v>
      </c>
      <c r="D107" s="4">
        <v>44299767</v>
      </c>
      <c r="E107" s="4">
        <v>39097536</v>
      </c>
      <c r="F107" s="5">
        <v>43295257</v>
      </c>
      <c r="G107" s="4">
        <v>38138856</v>
      </c>
      <c r="H107" s="4">
        <v>39097536</v>
      </c>
      <c r="I107" s="4">
        <v>39802049</v>
      </c>
      <c r="J107" s="4">
        <v>43295257</v>
      </c>
    </row>
    <row r="108" spans="1:10" ht="16" x14ac:dyDescent="0.2">
      <c r="A108" s="3" t="s">
        <v>108</v>
      </c>
      <c r="B108" s="4">
        <v>87347200</v>
      </c>
      <c r="C108" s="4">
        <v>109865531</v>
      </c>
      <c r="D108" s="4">
        <v>157872293</v>
      </c>
      <c r="E108" s="4">
        <v>190989232</v>
      </c>
      <c r="F108" s="5">
        <v>190861781</v>
      </c>
      <c r="G108" s="4">
        <v>170556541</v>
      </c>
      <c r="H108" s="4">
        <v>190989232</v>
      </c>
      <c r="I108" s="4">
        <v>198481146</v>
      </c>
      <c r="J108" s="4">
        <v>190861781</v>
      </c>
    </row>
    <row r="109" spans="1:10" ht="16" x14ac:dyDescent="0.2">
      <c r="A109" s="3" t="s">
        <v>109</v>
      </c>
      <c r="B109" s="4">
        <v>82510355</v>
      </c>
      <c r="C109" s="4">
        <v>98957531</v>
      </c>
      <c r="D109" s="4">
        <v>143594701</v>
      </c>
      <c r="E109" s="4">
        <v>163509749</v>
      </c>
      <c r="F109" s="5">
        <v>163571499</v>
      </c>
      <c r="G109" s="4">
        <v>146693183</v>
      </c>
      <c r="H109" s="4">
        <v>163509749</v>
      </c>
      <c r="I109" s="4">
        <v>170267159</v>
      </c>
      <c r="J109" s="4">
        <v>163571499</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4836845</v>
      </c>
      <c r="C114" s="4">
        <v>10908001</v>
      </c>
      <c r="D114" s="4">
        <v>14277591</v>
      </c>
      <c r="E114" s="4">
        <v>27479482</v>
      </c>
      <c r="F114" s="5">
        <v>27290283</v>
      </c>
      <c r="G114" s="4">
        <v>23863358</v>
      </c>
      <c r="H114" s="4">
        <v>27479482</v>
      </c>
      <c r="I114" s="4">
        <v>28213987</v>
      </c>
      <c r="J114" s="4">
        <v>27290283</v>
      </c>
    </row>
    <row r="115" spans="1:10" ht="16" x14ac:dyDescent="0.2">
      <c r="A115" s="3" t="s">
        <v>112</v>
      </c>
      <c r="B115" s="4">
        <v>157791821</v>
      </c>
      <c r="C115" s="4">
        <v>195179190</v>
      </c>
      <c r="D115" s="4">
        <v>311472111</v>
      </c>
      <c r="E115" s="4">
        <v>274142734</v>
      </c>
      <c r="F115" s="5">
        <v>305952498</v>
      </c>
      <c r="G115" s="4">
        <v>312735486</v>
      </c>
      <c r="H115" s="4">
        <v>274142734</v>
      </c>
      <c r="I115" s="4">
        <v>287102768</v>
      </c>
      <c r="J115" s="4">
        <v>305952498</v>
      </c>
    </row>
    <row r="116" spans="1:10" ht="16" x14ac:dyDescent="0.2">
      <c r="A116" s="3" t="s">
        <v>113</v>
      </c>
      <c r="B116" s="4">
        <v>382938026</v>
      </c>
      <c r="C116" s="4">
        <v>460618631</v>
      </c>
      <c r="D116" s="4">
        <v>764982092</v>
      </c>
      <c r="E116" s="4">
        <v>882624148</v>
      </c>
      <c r="F116" s="5">
        <v>1021329058</v>
      </c>
      <c r="G116" s="4">
        <v>836162901</v>
      </c>
      <c r="H116" s="4">
        <v>882624148</v>
      </c>
      <c r="I116" s="4">
        <v>1022746982</v>
      </c>
      <c r="J116" s="4">
        <v>1021329058</v>
      </c>
    </row>
    <row r="117" spans="1:10" ht="16" x14ac:dyDescent="0.2">
      <c r="A117" s="3" t="s">
        <v>114</v>
      </c>
      <c r="B117" s="4" t="s">
        <v>15</v>
      </c>
      <c r="C117" s="4" t="s">
        <v>15</v>
      </c>
      <c r="D117" s="4">
        <v>2328393707</v>
      </c>
      <c r="E117" s="4" t="s">
        <v>15</v>
      </c>
      <c r="F117" s="5" t="s">
        <v>15</v>
      </c>
      <c r="G117" s="4" t="s">
        <v>15</v>
      </c>
      <c r="H117" s="4" t="s">
        <v>15</v>
      </c>
      <c r="I117" s="4" t="s">
        <v>15</v>
      </c>
      <c r="J117" s="4" t="s">
        <v>15</v>
      </c>
    </row>
    <row r="118" spans="1:10" ht="16" x14ac:dyDescent="0.2">
      <c r="A118" s="3" t="s">
        <v>115</v>
      </c>
      <c r="B118" s="4">
        <v>66314950</v>
      </c>
      <c r="C118" s="4">
        <v>72285235</v>
      </c>
      <c r="D118" s="4">
        <v>44819469</v>
      </c>
      <c r="E118" s="4">
        <v>42062349</v>
      </c>
      <c r="F118" s="5">
        <v>42998505</v>
      </c>
      <c r="G118" s="4">
        <v>38610069</v>
      </c>
      <c r="H118" s="4">
        <v>42062349</v>
      </c>
      <c r="I118" s="4">
        <v>42819117</v>
      </c>
      <c r="J118" s="4">
        <v>42998505</v>
      </c>
    </row>
    <row r="119" spans="1:10" ht="16" x14ac:dyDescent="0.2">
      <c r="A119" s="3" t="s">
        <v>116</v>
      </c>
      <c r="B119" s="4">
        <v>66314950</v>
      </c>
      <c r="C119" s="4">
        <v>72285235</v>
      </c>
      <c r="D119" s="4">
        <v>44819469</v>
      </c>
      <c r="E119" s="4">
        <v>42062349</v>
      </c>
      <c r="F119" s="5">
        <v>42998505</v>
      </c>
      <c r="G119" s="4">
        <v>38610069</v>
      </c>
      <c r="H119" s="4">
        <v>42062349</v>
      </c>
      <c r="I119" s="4">
        <v>42819117</v>
      </c>
      <c r="J119" s="4">
        <v>42998505</v>
      </c>
    </row>
    <row r="120" spans="1:10" ht="16" x14ac:dyDescent="0.2">
      <c r="A120" s="3" t="s">
        <v>117</v>
      </c>
      <c r="B120" s="4" t="s">
        <v>15</v>
      </c>
      <c r="C120" s="4" t="s">
        <v>15</v>
      </c>
      <c r="D120" s="4" t="s">
        <v>15</v>
      </c>
      <c r="E120" s="4" t="s">
        <v>15</v>
      </c>
      <c r="F120" s="5" t="s">
        <v>15</v>
      </c>
      <c r="G120" s="4" t="s">
        <v>15</v>
      </c>
      <c r="H120" s="4" t="s">
        <v>15</v>
      </c>
      <c r="I120" s="4" t="s">
        <v>15</v>
      </c>
      <c r="J120" s="4" t="s">
        <v>15</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161674543</v>
      </c>
      <c r="C122" s="4">
        <v>254150914</v>
      </c>
      <c r="D122" s="4">
        <v>-2026625355</v>
      </c>
      <c r="E122" s="4">
        <v>242178679</v>
      </c>
      <c r="F122" s="5">
        <v>278781135</v>
      </c>
      <c r="G122" s="4">
        <v>201624265</v>
      </c>
      <c r="H122" s="4">
        <v>242178679</v>
      </c>
      <c r="I122" s="4">
        <v>261638583</v>
      </c>
      <c r="J122" s="4">
        <v>278781135</v>
      </c>
    </row>
    <row r="123" spans="1:10" ht="16" x14ac:dyDescent="0.2">
      <c r="A123" s="3" t="s">
        <v>120</v>
      </c>
      <c r="B123" s="4">
        <v>-801464</v>
      </c>
      <c r="C123" s="4">
        <v>-2585374</v>
      </c>
      <c r="D123" s="4">
        <v>-432137</v>
      </c>
      <c r="E123" s="4">
        <v>-247601</v>
      </c>
      <c r="F123" s="5">
        <v>928441</v>
      </c>
      <c r="G123" s="4">
        <v>1790805</v>
      </c>
      <c r="H123" s="4">
        <v>-247601</v>
      </c>
      <c r="I123" s="4">
        <v>-509544</v>
      </c>
      <c r="J123" s="4">
        <v>928441</v>
      </c>
    </row>
    <row r="124" spans="1:10" ht="16" x14ac:dyDescent="0.2">
      <c r="A124" s="3" t="s">
        <v>121</v>
      </c>
      <c r="B124" s="4">
        <v>227188029</v>
      </c>
      <c r="C124" s="4">
        <v>216048159</v>
      </c>
      <c r="D124" s="4">
        <v>-802415423</v>
      </c>
      <c r="E124" s="4">
        <v>283993426</v>
      </c>
      <c r="F124" s="5">
        <v>322708082</v>
      </c>
      <c r="G124" s="4">
        <v>242025139</v>
      </c>
      <c r="H124" s="4">
        <v>283993426</v>
      </c>
      <c r="I124" s="4">
        <v>303948156</v>
      </c>
      <c r="J124" s="4">
        <v>322708082</v>
      </c>
    </row>
    <row r="125" spans="1:10" ht="16" x14ac:dyDescent="0.2">
      <c r="A125" s="3" t="s">
        <v>122</v>
      </c>
      <c r="B125" s="4" t="s">
        <v>15</v>
      </c>
      <c r="C125" s="4">
        <v>107802616</v>
      </c>
      <c r="D125" s="4">
        <v>1206841421</v>
      </c>
      <c r="E125" s="4">
        <v>215247762</v>
      </c>
      <c r="F125" s="5">
        <v>238119552</v>
      </c>
      <c r="G125" s="4">
        <v>193469637</v>
      </c>
      <c r="H125" s="4">
        <v>215247762</v>
      </c>
      <c r="I125" s="4">
        <v>226394186</v>
      </c>
      <c r="J125" s="4">
        <v>238119552</v>
      </c>
    </row>
    <row r="126" spans="1:10" ht="16" x14ac:dyDescent="0.2">
      <c r="A126" s="3" t="s">
        <v>123</v>
      </c>
      <c r="B126" s="4">
        <v>227188029</v>
      </c>
      <c r="C126" s="4">
        <v>323850776</v>
      </c>
      <c r="D126" s="4">
        <v>404425998</v>
      </c>
      <c r="E126" s="4">
        <v>499241188</v>
      </c>
      <c r="F126" s="5">
        <v>560827634</v>
      </c>
      <c r="G126" s="4">
        <v>435494776</v>
      </c>
      <c r="H126" s="4">
        <v>499241188</v>
      </c>
      <c r="I126" s="4">
        <v>530342342</v>
      </c>
      <c r="J126" s="4">
        <v>560827634</v>
      </c>
    </row>
    <row r="127" spans="1:10" ht="16" x14ac:dyDescent="0.2">
      <c r="A127" s="3" t="s">
        <v>124</v>
      </c>
      <c r="B127" s="4">
        <v>610126055</v>
      </c>
      <c r="C127" s="4">
        <v>784469406</v>
      </c>
      <c r="D127" s="4">
        <v>1169408089</v>
      </c>
      <c r="E127" s="4">
        <v>1381865336</v>
      </c>
      <c r="F127" s="5">
        <v>1582156692</v>
      </c>
      <c r="G127" s="4">
        <v>1271657676</v>
      </c>
      <c r="H127" s="4">
        <v>1381865336</v>
      </c>
      <c r="I127" s="4">
        <v>1553089324</v>
      </c>
      <c r="J127" s="4">
        <v>1582156692</v>
      </c>
    </row>
    <row r="128" spans="1:10" ht="16" x14ac:dyDescent="0.2">
      <c r="A128" s="30" t="s">
        <v>125</v>
      </c>
      <c r="B128" s="28">
        <v>39412000</v>
      </c>
      <c r="C128" s="28">
        <v>39412000</v>
      </c>
      <c r="D128" s="28">
        <v>40512000</v>
      </c>
      <c r="E128" s="28">
        <v>81890000</v>
      </c>
      <c r="F128" s="29">
        <v>81890000</v>
      </c>
      <c r="G128" s="28">
        <v>80550000</v>
      </c>
      <c r="H128" s="28">
        <v>81890000</v>
      </c>
      <c r="I128" s="28">
        <v>81890000</v>
      </c>
      <c r="J128" s="28">
        <v>81890000</v>
      </c>
    </row>
    <row r="129" spans="1:10" ht="16" x14ac:dyDescent="0.2">
      <c r="A129" s="16" t="s">
        <v>188</v>
      </c>
      <c r="B129" s="17"/>
      <c r="C129" s="22">
        <f>(C128/B128)-1</f>
        <v>0</v>
      </c>
      <c r="D129" s="22">
        <f>(D128/C128)-1</f>
        <v>2.7910281132649928E-2</v>
      </c>
      <c r="E129" s="22">
        <f>(E128/D128)-1</f>
        <v>1.0213763823064772</v>
      </c>
      <c r="F129" s="22">
        <f t="shared" ref="F129:J129" si="6">(F128/E128)-1</f>
        <v>0</v>
      </c>
      <c r="G129" s="22">
        <f t="shared" si="6"/>
        <v>-1.6363414336304838E-2</v>
      </c>
      <c r="H129" s="22">
        <f t="shared" si="6"/>
        <v>1.6635630043451366E-2</v>
      </c>
      <c r="I129" s="22">
        <f t="shared" si="6"/>
        <v>0</v>
      </c>
      <c r="J129" s="22">
        <f t="shared" si="6"/>
        <v>0</v>
      </c>
    </row>
    <row r="130" spans="1:10" ht="16" x14ac:dyDescent="0.2">
      <c r="A130" s="3" t="s">
        <v>126</v>
      </c>
      <c r="B130" s="4">
        <v>47180846</v>
      </c>
      <c r="C130" s="4">
        <v>62532271</v>
      </c>
      <c r="D130" s="4">
        <v>62761131</v>
      </c>
      <c r="E130" s="4">
        <v>59187398</v>
      </c>
      <c r="F130" s="5">
        <v>64329744</v>
      </c>
      <c r="G130" s="4">
        <v>56791442</v>
      </c>
      <c r="H130" s="4">
        <v>59187398</v>
      </c>
      <c r="I130" s="4">
        <v>59775323</v>
      </c>
      <c r="J130" s="4">
        <v>64329744</v>
      </c>
    </row>
    <row r="131" spans="1:10" ht="16" x14ac:dyDescent="0.2">
      <c r="A131" s="3" t="s">
        <v>127</v>
      </c>
      <c r="B131" s="4">
        <v>59949263</v>
      </c>
      <c r="C131" s="4">
        <v>-4381554</v>
      </c>
      <c r="D131" s="4">
        <v>109617331</v>
      </c>
      <c r="E131" s="4">
        <v>145839337</v>
      </c>
      <c r="F131" s="5">
        <v>100373122</v>
      </c>
      <c r="G131" s="4">
        <v>157778932</v>
      </c>
      <c r="H131" s="4">
        <v>145839337</v>
      </c>
      <c r="I131" s="4">
        <v>2066425</v>
      </c>
      <c r="J131" s="4">
        <v>100373122</v>
      </c>
    </row>
    <row r="132" spans="1:10" ht="16" x14ac:dyDescent="0.2">
      <c r="A132" s="3" t="s">
        <v>128</v>
      </c>
      <c r="B132" s="6">
        <v>26.39</v>
      </c>
      <c r="C132" s="6">
        <v>-1.35</v>
      </c>
      <c r="D132" s="6">
        <v>27.1</v>
      </c>
      <c r="E132" s="6">
        <v>29.21</v>
      </c>
      <c r="F132" s="7">
        <v>17.899999999999999</v>
      </c>
      <c r="G132" s="6">
        <v>36.229999999999997</v>
      </c>
      <c r="H132" s="6">
        <v>29.21</v>
      </c>
      <c r="I132" s="6">
        <v>0.39</v>
      </c>
      <c r="J132" s="6">
        <v>17.899999999999999</v>
      </c>
    </row>
    <row r="133" spans="1:10" ht="16" x14ac:dyDescent="0.2">
      <c r="A133" s="3" t="s">
        <v>129</v>
      </c>
      <c r="B133" s="6">
        <v>-127.8</v>
      </c>
      <c r="C133" s="6">
        <v>-93.13</v>
      </c>
      <c r="D133" s="6">
        <v>-857.19</v>
      </c>
      <c r="E133" s="6">
        <v>-96.54</v>
      </c>
      <c r="F133" s="7">
        <v>-84.32</v>
      </c>
      <c r="G133" s="6">
        <v>-112.42</v>
      </c>
      <c r="H133" s="6">
        <v>-96.54</v>
      </c>
      <c r="I133" s="6">
        <v>-70.78</v>
      </c>
      <c r="J133" s="6">
        <v>-84.32</v>
      </c>
    </row>
    <row r="134" spans="1:10" ht="16" x14ac:dyDescent="0.2">
      <c r="A134" s="3" t="s">
        <v>130</v>
      </c>
      <c r="B134" s="6">
        <v>0.47</v>
      </c>
      <c r="C134" s="6">
        <v>0.6</v>
      </c>
      <c r="D134" s="6">
        <v>0.5</v>
      </c>
      <c r="E134" s="6">
        <v>0.54</v>
      </c>
      <c r="F134" s="7">
        <v>0.63</v>
      </c>
      <c r="G134" s="6">
        <v>0.56000000000000005</v>
      </c>
      <c r="H134" s="6">
        <v>0.54</v>
      </c>
      <c r="I134" s="6">
        <v>0.65</v>
      </c>
      <c r="J134" s="6">
        <v>0.63</v>
      </c>
    </row>
    <row r="135" spans="1:10" ht="16" x14ac:dyDescent="0.2">
      <c r="A135" s="3" t="s">
        <v>131</v>
      </c>
      <c r="B135" s="4" t="s">
        <v>15</v>
      </c>
      <c r="C135" s="6">
        <v>-76.290000000000006</v>
      </c>
      <c r="D135" s="6">
        <v>-60.76</v>
      </c>
      <c r="E135" s="6">
        <v>-62.06</v>
      </c>
      <c r="F135" s="7">
        <v>-42.04</v>
      </c>
      <c r="G135" s="6">
        <v>-50.6</v>
      </c>
      <c r="H135" s="6">
        <v>-62.06</v>
      </c>
      <c r="I135" s="6">
        <v>-54.74</v>
      </c>
      <c r="J135" s="6">
        <v>-42.04</v>
      </c>
    </row>
    <row r="136" spans="1:10" ht="16" x14ac:dyDescent="0.2">
      <c r="A136" s="3" t="s">
        <v>132</v>
      </c>
      <c r="B136" s="4" t="s">
        <v>15</v>
      </c>
      <c r="C136" s="4" t="s">
        <v>15</v>
      </c>
      <c r="D136" s="4" t="s">
        <v>15</v>
      </c>
      <c r="E136" s="4" t="s">
        <v>15</v>
      </c>
      <c r="F136" s="5" t="s">
        <v>15</v>
      </c>
      <c r="G136" s="4" t="s">
        <v>15</v>
      </c>
      <c r="H136" s="4" t="s">
        <v>15</v>
      </c>
      <c r="I136" s="4" t="s">
        <v>15</v>
      </c>
      <c r="J136" s="4" t="s">
        <v>15</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52158003</v>
      </c>
      <c r="C139" s="4">
        <v>77920934</v>
      </c>
      <c r="D139" s="4">
        <v>-2527131412</v>
      </c>
      <c r="E139" s="4">
        <v>93501532</v>
      </c>
      <c r="F139" s="5">
        <v>100078552</v>
      </c>
      <c r="G139" s="4">
        <v>18046181</v>
      </c>
      <c r="H139" s="4">
        <v>30662013</v>
      </c>
      <c r="I139" s="4">
        <v>22954489</v>
      </c>
      <c r="J139" s="4">
        <v>25586140</v>
      </c>
    </row>
    <row r="140" spans="1:10" ht="16" x14ac:dyDescent="0.2">
      <c r="A140" s="3" t="s">
        <v>134</v>
      </c>
      <c r="B140" s="4">
        <v>69045989</v>
      </c>
      <c r="C140" s="4">
        <v>84528136</v>
      </c>
      <c r="D140" s="4">
        <v>124709161</v>
      </c>
      <c r="E140" s="4">
        <v>144018613</v>
      </c>
      <c r="F140" s="5">
        <v>158945658</v>
      </c>
      <c r="G140" s="4">
        <v>35500652</v>
      </c>
      <c r="H140" s="4">
        <v>38969466</v>
      </c>
      <c r="I140" s="4">
        <v>38303836</v>
      </c>
      <c r="J140" s="4">
        <v>41108893</v>
      </c>
    </row>
    <row r="141" spans="1:10" ht="16" x14ac:dyDescent="0.2">
      <c r="A141" s="3" t="s">
        <v>135</v>
      </c>
      <c r="B141" s="4">
        <v>5723618</v>
      </c>
      <c r="C141" s="4">
        <v>9652632</v>
      </c>
      <c r="D141" s="4">
        <v>2612198792</v>
      </c>
      <c r="E141" s="4">
        <v>-21398307</v>
      </c>
      <c r="F141" s="5">
        <v>-13582954</v>
      </c>
      <c r="G141" s="4">
        <v>-3199545</v>
      </c>
      <c r="H141" s="4">
        <v>-9775985</v>
      </c>
      <c r="I141" s="4">
        <v>1097313</v>
      </c>
      <c r="J141" s="4">
        <v>-1128094</v>
      </c>
    </row>
    <row r="142" spans="1:10" ht="16" x14ac:dyDescent="0.2">
      <c r="A142" s="30" t="s">
        <v>136</v>
      </c>
      <c r="B142" s="28">
        <v>0</v>
      </c>
      <c r="C142" s="28">
        <v>0</v>
      </c>
      <c r="D142" s="28">
        <v>0</v>
      </c>
      <c r="E142" s="28">
        <v>0</v>
      </c>
      <c r="F142" s="29">
        <v>0</v>
      </c>
      <c r="G142" s="28">
        <v>0</v>
      </c>
      <c r="H142" s="28">
        <v>0</v>
      </c>
      <c r="I142" s="28">
        <v>0</v>
      </c>
      <c r="J142" s="28">
        <v>0</v>
      </c>
    </row>
    <row r="143" spans="1:10" ht="16" x14ac:dyDescent="0.2">
      <c r="A143" s="12" t="s">
        <v>189</v>
      </c>
      <c r="B143" s="22">
        <f t="shared" ref="B143:J143" si="7">B142/B2</f>
        <v>0</v>
      </c>
      <c r="C143" s="22">
        <f t="shared" si="7"/>
        <v>0</v>
      </c>
      <c r="D143" s="22">
        <f t="shared" si="7"/>
        <v>0</v>
      </c>
      <c r="E143" s="22">
        <f t="shared" si="7"/>
        <v>0</v>
      </c>
      <c r="F143" s="22">
        <f t="shared" si="7"/>
        <v>0</v>
      </c>
      <c r="G143" s="22">
        <f t="shared" si="7"/>
        <v>0</v>
      </c>
      <c r="H143" s="22">
        <f t="shared" si="7"/>
        <v>0</v>
      </c>
      <c r="I143" s="22">
        <f t="shared" si="7"/>
        <v>0</v>
      </c>
      <c r="J143" s="22">
        <f t="shared" si="7"/>
        <v>0</v>
      </c>
    </row>
    <row r="144" spans="1:10" ht="16" x14ac:dyDescent="0.2">
      <c r="A144" s="3" t="s">
        <v>137</v>
      </c>
      <c r="B144" s="4">
        <v>13740501</v>
      </c>
      <c r="C144" s="4">
        <v>26097224</v>
      </c>
      <c r="D144" s="4">
        <v>24563598</v>
      </c>
      <c r="E144" s="4">
        <v>17938292</v>
      </c>
      <c r="F144" s="5">
        <v>23751077</v>
      </c>
      <c r="G144" s="4">
        <v>5138278</v>
      </c>
      <c r="H144" s="4">
        <v>207046</v>
      </c>
      <c r="I144" s="4">
        <v>9058810</v>
      </c>
      <c r="J144" s="4">
        <v>8720366</v>
      </c>
    </row>
    <row r="145" spans="1:10" ht="16" x14ac:dyDescent="0.2">
      <c r="A145" s="3" t="s">
        <v>138</v>
      </c>
      <c r="B145" s="4" t="s">
        <v>15</v>
      </c>
      <c r="C145" s="4" t="s">
        <v>15</v>
      </c>
      <c r="D145" s="4">
        <v>1819526</v>
      </c>
      <c r="E145" s="4" t="s">
        <v>15</v>
      </c>
      <c r="F145" s="5" t="s">
        <v>15</v>
      </c>
      <c r="G145" s="4" t="s">
        <v>15</v>
      </c>
      <c r="H145" s="4" t="s">
        <v>15</v>
      </c>
      <c r="I145" s="4" t="s">
        <v>15</v>
      </c>
      <c r="J145" s="4" t="s">
        <v>15</v>
      </c>
    </row>
    <row r="146" spans="1:10" ht="16" x14ac:dyDescent="0.2">
      <c r="A146" s="3" t="s">
        <v>139</v>
      </c>
      <c r="B146" s="4">
        <v>-8016882</v>
      </c>
      <c r="C146" s="4">
        <v>-16444591</v>
      </c>
      <c r="D146" s="4">
        <v>2585815668</v>
      </c>
      <c r="E146" s="4">
        <v>-39336599</v>
      </c>
      <c r="F146" s="5">
        <v>-37334032</v>
      </c>
      <c r="G146" s="4">
        <v>-8337823</v>
      </c>
      <c r="H146" s="4">
        <v>-9983031</v>
      </c>
      <c r="I146" s="4">
        <v>-7961496</v>
      </c>
      <c r="J146" s="4">
        <v>-9848460</v>
      </c>
    </row>
    <row r="147" spans="1:10" ht="16" x14ac:dyDescent="0.2">
      <c r="A147" s="3" t="s">
        <v>140</v>
      </c>
      <c r="B147" s="4">
        <v>9305510</v>
      </c>
      <c r="C147" s="4">
        <v>13714838</v>
      </c>
      <c r="D147" s="4">
        <v>-9147666</v>
      </c>
      <c r="E147" s="4">
        <v>537893</v>
      </c>
      <c r="F147" s="5">
        <v>-8018852</v>
      </c>
      <c r="G147" s="4">
        <v>-39647521</v>
      </c>
      <c r="H147" s="4">
        <v>-8551852</v>
      </c>
      <c r="I147" s="4">
        <v>126678835</v>
      </c>
      <c r="J147" s="4">
        <v>-82332341</v>
      </c>
    </row>
    <row r="148" spans="1:10" ht="16" x14ac:dyDescent="0.2">
      <c r="A148" s="3" t="s">
        <v>141</v>
      </c>
      <c r="B148" s="4">
        <v>-588189</v>
      </c>
      <c r="C148" s="4">
        <v>5632028</v>
      </c>
      <c r="D148" s="4">
        <v>-24363450</v>
      </c>
      <c r="E148" s="4">
        <v>-6402416</v>
      </c>
      <c r="F148" s="5">
        <v>-16746855</v>
      </c>
      <c r="G148" s="4">
        <v>15158165</v>
      </c>
      <c r="H148" s="4">
        <v>-8101474</v>
      </c>
      <c r="I148" s="4">
        <v>-53892203</v>
      </c>
      <c r="J148" s="4">
        <v>28771861</v>
      </c>
    </row>
    <row r="149" spans="1:10" ht="16" x14ac:dyDescent="0.2">
      <c r="A149" s="3" t="s">
        <v>142</v>
      </c>
      <c r="B149" s="4">
        <v>-23572</v>
      </c>
      <c r="C149" s="4">
        <v>140709</v>
      </c>
      <c r="D149" s="4">
        <v>-392335</v>
      </c>
      <c r="E149" s="4">
        <v>-19210</v>
      </c>
      <c r="F149" s="5">
        <v>544409</v>
      </c>
      <c r="G149" s="4">
        <v>337001</v>
      </c>
      <c r="H149" s="4">
        <v>-43757</v>
      </c>
      <c r="I149" s="4">
        <v>-66273</v>
      </c>
      <c r="J149" s="4">
        <v>280387</v>
      </c>
    </row>
    <row r="150" spans="1:10" ht="16" x14ac:dyDescent="0.2">
      <c r="A150" s="3" t="s">
        <v>143</v>
      </c>
      <c r="B150" s="4" t="s">
        <v>15</v>
      </c>
      <c r="C150" s="4" t="s">
        <v>15</v>
      </c>
      <c r="D150" s="4" t="s">
        <v>15</v>
      </c>
      <c r="E150" s="4" t="s">
        <v>15</v>
      </c>
      <c r="F150" s="5" t="s">
        <v>15</v>
      </c>
      <c r="G150" s="4" t="s">
        <v>15</v>
      </c>
      <c r="H150" s="4" t="s">
        <v>15</v>
      </c>
      <c r="I150" s="4" t="s">
        <v>15</v>
      </c>
      <c r="J150" s="4" t="s">
        <v>15</v>
      </c>
    </row>
    <row r="151" spans="1:10" ht="16" x14ac:dyDescent="0.2">
      <c r="A151" s="3" t="s">
        <v>144</v>
      </c>
      <c r="B151" s="4">
        <v>6296093</v>
      </c>
      <c r="C151" s="4">
        <v>1206426</v>
      </c>
      <c r="D151" s="4">
        <v>10623756</v>
      </c>
      <c r="E151" s="4">
        <v>12941440</v>
      </c>
      <c r="F151" s="5">
        <v>-272750</v>
      </c>
      <c r="G151" s="4">
        <v>-2065108</v>
      </c>
      <c r="H151" s="4">
        <v>34567071</v>
      </c>
      <c r="I151" s="4">
        <v>9805200</v>
      </c>
      <c r="J151" s="4">
        <v>-43155609</v>
      </c>
    </row>
    <row r="152" spans="1:10" ht="16" x14ac:dyDescent="0.2">
      <c r="A152" s="3" t="s">
        <v>145</v>
      </c>
      <c r="B152" s="4">
        <v>3621179</v>
      </c>
      <c r="C152" s="4">
        <v>6735675</v>
      </c>
      <c r="D152" s="4">
        <v>4984363</v>
      </c>
      <c r="E152" s="4">
        <v>-5981921</v>
      </c>
      <c r="F152" s="5">
        <v>8456344</v>
      </c>
      <c r="G152" s="4">
        <v>-53077579</v>
      </c>
      <c r="H152" s="4">
        <v>-34973692</v>
      </c>
      <c r="I152" s="4">
        <v>170832112</v>
      </c>
      <c r="J152" s="4">
        <v>-68228979</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136233120</v>
      </c>
      <c r="C154" s="4">
        <v>185816540</v>
      </c>
      <c r="D154" s="4">
        <v>200628874</v>
      </c>
      <c r="E154" s="4">
        <v>216659730</v>
      </c>
      <c r="F154" s="5">
        <v>237422403</v>
      </c>
      <c r="G154" s="4">
        <v>10699766</v>
      </c>
      <c r="H154" s="4">
        <v>51303643</v>
      </c>
      <c r="I154" s="4">
        <v>189034474</v>
      </c>
      <c r="J154" s="4">
        <v>-16765402</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-2879208</v>
      </c>
      <c r="C159" s="4">
        <v>-2946323</v>
      </c>
      <c r="D159" s="4">
        <v>-6123841</v>
      </c>
      <c r="E159" s="4">
        <v>-7794107</v>
      </c>
      <c r="F159" s="5">
        <v>-8246872</v>
      </c>
      <c r="G159" s="4">
        <v>-1172644</v>
      </c>
      <c r="H159" s="4">
        <v>-2660647</v>
      </c>
      <c r="I159" s="4">
        <v>-2152255</v>
      </c>
      <c r="J159" s="4">
        <v>-2059809</v>
      </c>
    </row>
    <row r="160" spans="1:10" ht="16" x14ac:dyDescent="0.2">
      <c r="A160" s="3" t="s">
        <v>153</v>
      </c>
      <c r="B160" s="4">
        <v>-2879208</v>
      </c>
      <c r="C160" s="4">
        <v>-2946323</v>
      </c>
      <c r="D160" s="4">
        <v>-6123841</v>
      </c>
      <c r="E160" s="4">
        <v>-7794107</v>
      </c>
      <c r="F160" s="5">
        <v>-8246872</v>
      </c>
      <c r="G160" s="4">
        <v>-1172644</v>
      </c>
      <c r="H160" s="4">
        <v>-2660647</v>
      </c>
      <c r="I160" s="4">
        <v>-2152255</v>
      </c>
      <c r="J160" s="4">
        <v>-2059809</v>
      </c>
    </row>
    <row r="161" spans="1:10" ht="16" x14ac:dyDescent="0.2">
      <c r="A161" s="3" t="s">
        <v>154</v>
      </c>
      <c r="B161" s="4" t="s">
        <v>15</v>
      </c>
      <c r="C161" s="4" t="s">
        <v>15</v>
      </c>
      <c r="D161" s="4" t="s">
        <v>15</v>
      </c>
      <c r="E161" s="4" t="s">
        <v>15</v>
      </c>
      <c r="F161" s="5" t="s">
        <v>15</v>
      </c>
      <c r="G161" s="4" t="s">
        <v>15</v>
      </c>
      <c r="H161" s="4" t="s">
        <v>15</v>
      </c>
      <c r="I161" s="4" t="s">
        <v>15</v>
      </c>
      <c r="J161" s="4" t="s">
        <v>15</v>
      </c>
    </row>
    <row r="162" spans="1:10" ht="16" x14ac:dyDescent="0.2">
      <c r="A162" s="3" t="s">
        <v>155</v>
      </c>
      <c r="B162" s="4">
        <v>-538799</v>
      </c>
      <c r="C162" s="4" t="s">
        <v>15</v>
      </c>
      <c r="D162" s="4" t="s">
        <v>15</v>
      </c>
      <c r="E162" s="4" t="s">
        <v>15</v>
      </c>
      <c r="F162" s="5" t="s">
        <v>15</v>
      </c>
      <c r="G162" s="4" t="s">
        <v>15</v>
      </c>
      <c r="H162" s="4" t="s">
        <v>15</v>
      </c>
      <c r="I162" s="4" t="s">
        <v>15</v>
      </c>
      <c r="J162" s="4" t="s">
        <v>15</v>
      </c>
    </row>
    <row r="163" spans="1:10" ht="16" x14ac:dyDescent="0.2">
      <c r="A163" s="3" t="s">
        <v>156</v>
      </c>
      <c r="B163" s="4" t="s">
        <v>15</v>
      </c>
      <c r="C163" s="4" t="s">
        <v>15</v>
      </c>
      <c r="D163" s="4" t="s">
        <v>15</v>
      </c>
      <c r="E163" s="4" t="s">
        <v>15</v>
      </c>
      <c r="F163" s="5" t="s">
        <v>15</v>
      </c>
      <c r="G163" s="4" t="s">
        <v>15</v>
      </c>
      <c r="H163" s="4" t="s">
        <v>15</v>
      </c>
      <c r="I163" s="4" t="s">
        <v>15</v>
      </c>
      <c r="J163" s="4" t="s">
        <v>15</v>
      </c>
    </row>
    <row r="164" spans="1:10" ht="16" x14ac:dyDescent="0.2">
      <c r="A164" s="3" t="s">
        <v>157</v>
      </c>
      <c r="B164" s="4">
        <v>-538799</v>
      </c>
      <c r="C164" s="4" t="s">
        <v>15</v>
      </c>
      <c r="D164" s="4" t="s">
        <v>15</v>
      </c>
      <c r="E164" s="4" t="s">
        <v>15</v>
      </c>
      <c r="F164" s="5" t="s">
        <v>15</v>
      </c>
      <c r="G164" s="4" t="s">
        <v>15</v>
      </c>
      <c r="H164" s="4" t="s">
        <v>15</v>
      </c>
      <c r="I164" s="4" t="s">
        <v>15</v>
      </c>
      <c r="J164" s="4" t="s">
        <v>15</v>
      </c>
    </row>
    <row r="165" spans="1:10" ht="16" x14ac:dyDescent="0.2">
      <c r="A165" s="3" t="s">
        <v>158</v>
      </c>
      <c r="B165" s="4">
        <v>-111044260</v>
      </c>
      <c r="C165" s="4">
        <v>-88965973</v>
      </c>
      <c r="D165" s="4">
        <v>-237732417</v>
      </c>
      <c r="E165" s="4">
        <v>-137815772</v>
      </c>
      <c r="F165" s="5">
        <v>-152928791</v>
      </c>
      <c r="G165" s="4">
        <v>-33951821</v>
      </c>
      <c r="H165" s="4">
        <v>-12803765</v>
      </c>
      <c r="I165" s="4">
        <v>-30758450</v>
      </c>
      <c r="J165" s="4">
        <v>-71141950</v>
      </c>
    </row>
    <row r="166" spans="1:10" ht="16" x14ac:dyDescent="0.2">
      <c r="A166" s="3" t="s">
        <v>159</v>
      </c>
      <c r="B166" s="4">
        <v>24399744</v>
      </c>
      <c r="C166" s="4">
        <v>24091816</v>
      </c>
      <c r="D166" s="4">
        <v>54037642</v>
      </c>
      <c r="E166" s="4">
        <v>40689869</v>
      </c>
      <c r="F166" s="5">
        <v>17561832</v>
      </c>
      <c r="G166" s="4">
        <v>9671131</v>
      </c>
      <c r="H166" s="4">
        <v>685173</v>
      </c>
      <c r="I166" s="4">
        <v>1056028</v>
      </c>
      <c r="J166" s="4">
        <v>5030603</v>
      </c>
    </row>
    <row r="167" spans="1:10" ht="16" x14ac:dyDescent="0.2">
      <c r="A167" s="3" t="s">
        <v>160</v>
      </c>
      <c r="B167" s="4">
        <v>-135444004</v>
      </c>
      <c r="C167" s="4">
        <v>-113057789</v>
      </c>
      <c r="D167" s="4">
        <v>-291770058</v>
      </c>
      <c r="E167" s="4">
        <v>-178505641</v>
      </c>
      <c r="F167" s="5">
        <v>-170490623</v>
      </c>
      <c r="G167" s="4">
        <v>-43622952</v>
      </c>
      <c r="H167" s="4">
        <v>-13488938</v>
      </c>
      <c r="I167" s="4">
        <v>-31814478</v>
      </c>
      <c r="J167" s="4">
        <v>-76172553</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v>1122</v>
      </c>
      <c r="C169" s="4">
        <v>1064494</v>
      </c>
      <c r="D169" s="4">
        <v>1148576</v>
      </c>
      <c r="E169" s="4">
        <v>3231625</v>
      </c>
      <c r="F169" s="5">
        <v>2182</v>
      </c>
      <c r="G169" s="4">
        <v>980</v>
      </c>
      <c r="H169" s="4">
        <v>1067</v>
      </c>
      <c r="I169" s="4" t="s">
        <v>15</v>
      </c>
      <c r="J169" s="4" t="s">
        <v>15</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-114461145</v>
      </c>
      <c r="C171" s="4">
        <v>-90847802</v>
      </c>
      <c r="D171" s="4">
        <v>-242707683</v>
      </c>
      <c r="E171" s="4">
        <v>-142378254</v>
      </c>
      <c r="F171" s="5">
        <v>-161173480</v>
      </c>
      <c r="G171" s="4">
        <v>-35123485</v>
      </c>
      <c r="H171" s="4">
        <v>-15463345</v>
      </c>
      <c r="I171" s="4">
        <v>-32910705</v>
      </c>
      <c r="J171" s="4">
        <v>-73201759</v>
      </c>
    </row>
    <row r="172" spans="1:10" ht="16" x14ac:dyDescent="0.2">
      <c r="A172" s="3" t="s">
        <v>164</v>
      </c>
      <c r="B172" s="4" t="s">
        <v>15</v>
      </c>
      <c r="C172" s="4" t="s">
        <v>15</v>
      </c>
      <c r="D172" s="4">
        <v>-41422642</v>
      </c>
      <c r="E172" s="4">
        <v>-71093608</v>
      </c>
      <c r="F172" s="5">
        <v>0</v>
      </c>
      <c r="G172" s="4" t="s">
        <v>15</v>
      </c>
      <c r="H172" s="4" t="s">
        <v>15</v>
      </c>
      <c r="I172" s="4" t="s">
        <v>15</v>
      </c>
      <c r="J172" s="4" t="s">
        <v>15</v>
      </c>
    </row>
    <row r="173" spans="1:10" ht="16" x14ac:dyDescent="0.2">
      <c r="A173" s="3" t="s">
        <v>165</v>
      </c>
      <c r="B173" s="4">
        <v>-7125619</v>
      </c>
      <c r="C173" s="4">
        <v>-17647347</v>
      </c>
      <c r="D173" s="4">
        <v>88382328</v>
      </c>
      <c r="E173" s="4">
        <v>71905783</v>
      </c>
      <c r="F173" s="5">
        <v>-68123152</v>
      </c>
      <c r="G173" s="4">
        <v>-98945</v>
      </c>
      <c r="H173" s="4">
        <v>-5133459</v>
      </c>
      <c r="I173" s="4">
        <v>-75433222</v>
      </c>
      <c r="J173" s="4">
        <v>12983995</v>
      </c>
    </row>
    <row r="174" spans="1:10" ht="16" x14ac:dyDescent="0.2">
      <c r="A174" s="3" t="s">
        <v>166</v>
      </c>
      <c r="B174" s="4">
        <v>38164940</v>
      </c>
      <c r="C174" s="4" t="s">
        <v>15</v>
      </c>
      <c r="D174" s="4">
        <v>108704157</v>
      </c>
      <c r="E174" s="4">
        <v>99885805</v>
      </c>
      <c r="F174" s="5">
        <v>37600236</v>
      </c>
      <c r="G174" s="4">
        <v>7649128</v>
      </c>
      <c r="H174" s="4">
        <v>467454</v>
      </c>
      <c r="I174" s="4">
        <v>4646741</v>
      </c>
      <c r="J174" s="4">
        <v>23937638</v>
      </c>
    </row>
    <row r="175" spans="1:10" ht="16" x14ac:dyDescent="0.2">
      <c r="A175" s="3" t="s">
        <v>167</v>
      </c>
      <c r="B175" s="4">
        <v>-45290559</v>
      </c>
      <c r="C175" s="4">
        <v>-17647347</v>
      </c>
      <c r="D175" s="4">
        <v>-20321829</v>
      </c>
      <c r="E175" s="4">
        <v>-27980021</v>
      </c>
      <c r="F175" s="5">
        <v>-105723388</v>
      </c>
      <c r="G175" s="4">
        <v>-7748073</v>
      </c>
      <c r="H175" s="4">
        <v>-5600914</v>
      </c>
      <c r="I175" s="4">
        <v>-80079963</v>
      </c>
      <c r="J175" s="4">
        <v>-10953643</v>
      </c>
    </row>
    <row r="176" spans="1:10" ht="16" x14ac:dyDescent="0.2">
      <c r="A176" s="3" t="s">
        <v>168</v>
      </c>
      <c r="B176" s="4" t="s">
        <v>15</v>
      </c>
      <c r="C176" s="4" t="s">
        <v>15</v>
      </c>
      <c r="D176" s="4" t="s">
        <v>15</v>
      </c>
      <c r="E176" s="4" t="s">
        <v>15</v>
      </c>
      <c r="F176" s="5" t="s">
        <v>15</v>
      </c>
      <c r="G176" s="4" t="s">
        <v>15</v>
      </c>
      <c r="H176" s="4" t="s">
        <v>15</v>
      </c>
      <c r="I176" s="4" t="s">
        <v>15</v>
      </c>
      <c r="J176" s="4" t="s">
        <v>15</v>
      </c>
    </row>
    <row r="177" spans="1:10" ht="16" x14ac:dyDescent="0.2">
      <c r="A177" s="3" t="s">
        <v>169</v>
      </c>
      <c r="B177" s="4" t="s">
        <v>15</v>
      </c>
      <c r="C177" s="4" t="s">
        <v>15</v>
      </c>
      <c r="D177" s="4" t="s">
        <v>15</v>
      </c>
      <c r="E177" s="4" t="s">
        <v>15</v>
      </c>
      <c r="F177" s="5" t="s">
        <v>15</v>
      </c>
      <c r="G177" s="4" t="s">
        <v>15</v>
      </c>
      <c r="H177" s="4" t="s">
        <v>15</v>
      </c>
      <c r="I177" s="4" t="s">
        <v>15</v>
      </c>
      <c r="J177" s="4" t="s">
        <v>15</v>
      </c>
    </row>
    <row r="178" spans="1:10" ht="16" x14ac:dyDescent="0.2">
      <c r="A178" s="3" t="s">
        <v>170</v>
      </c>
      <c r="B178" s="4" t="s">
        <v>15</v>
      </c>
      <c r="C178" s="4" t="s">
        <v>15</v>
      </c>
      <c r="D178" s="4" t="s">
        <v>15</v>
      </c>
      <c r="E178" s="4" t="s">
        <v>15</v>
      </c>
      <c r="F178" s="5" t="s">
        <v>15</v>
      </c>
      <c r="G178" s="4" t="s">
        <v>15</v>
      </c>
      <c r="H178" s="4" t="s">
        <v>15</v>
      </c>
      <c r="I178" s="4" t="s">
        <v>15</v>
      </c>
      <c r="J178" s="4" t="s">
        <v>15</v>
      </c>
    </row>
    <row r="179" spans="1:10" ht="16" x14ac:dyDescent="0.2">
      <c r="A179" s="3" t="s">
        <v>171</v>
      </c>
      <c r="B179" s="4">
        <v>-2245</v>
      </c>
      <c r="C179" s="4">
        <v>-43552472</v>
      </c>
      <c r="D179" s="4">
        <v>17512936</v>
      </c>
      <c r="E179" s="4">
        <v>-9515576</v>
      </c>
      <c r="F179" s="5">
        <v>5641563</v>
      </c>
      <c r="G179" s="4">
        <v>1078598</v>
      </c>
      <c r="H179" s="4">
        <v>-29666272</v>
      </c>
      <c r="I179" s="4">
        <v>-14589920</v>
      </c>
      <c r="J179" s="4">
        <v>49417951</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-7127864</v>
      </c>
      <c r="C181" s="4">
        <v>-61199819</v>
      </c>
      <c r="D181" s="4">
        <v>64472622</v>
      </c>
      <c r="E181" s="4">
        <v>-8703401</v>
      </c>
      <c r="F181" s="5">
        <v>-62481589</v>
      </c>
      <c r="G181" s="4">
        <v>979653</v>
      </c>
      <c r="H181" s="4">
        <v>-34799731</v>
      </c>
      <c r="I181" s="4">
        <v>-90023142</v>
      </c>
      <c r="J181" s="4">
        <v>62401946</v>
      </c>
    </row>
    <row r="182" spans="1:10" ht="16" x14ac:dyDescent="0.2">
      <c r="A182" s="3" t="s">
        <v>173</v>
      </c>
      <c r="B182" s="4" t="s">
        <v>15</v>
      </c>
      <c r="C182" s="4" t="s">
        <v>15</v>
      </c>
      <c r="D182" s="4" t="s">
        <v>15</v>
      </c>
      <c r="E182" s="4" t="s">
        <v>15</v>
      </c>
      <c r="F182" s="5">
        <v>-33821</v>
      </c>
      <c r="G182" s="4" t="s">
        <v>15</v>
      </c>
      <c r="H182" s="4" t="s">
        <v>15</v>
      </c>
      <c r="I182" s="4">
        <v>-378084</v>
      </c>
      <c r="J182" s="4">
        <v>345847</v>
      </c>
    </row>
    <row r="183" spans="1:10" ht="16" x14ac:dyDescent="0.2">
      <c r="A183" s="3" t="s">
        <v>174</v>
      </c>
      <c r="B183" s="4">
        <v>14644112</v>
      </c>
      <c r="C183" s="4">
        <v>33768919</v>
      </c>
      <c r="D183" s="4">
        <v>22393814</v>
      </c>
      <c r="E183" s="4">
        <v>65578075</v>
      </c>
      <c r="F183" s="5">
        <v>13767333</v>
      </c>
      <c r="G183" s="4">
        <v>-23444067</v>
      </c>
      <c r="H183" s="4">
        <v>1040566</v>
      </c>
      <c r="I183" s="4">
        <v>66100627</v>
      </c>
      <c r="J183" s="4">
        <v>-27565215</v>
      </c>
    </row>
    <row r="184" spans="1:10" ht="16" x14ac:dyDescent="0.2">
      <c r="A184" s="3" t="s">
        <v>45</v>
      </c>
      <c r="B184" s="4">
        <v>148442533</v>
      </c>
      <c r="C184" s="4">
        <v>202033550</v>
      </c>
      <c r="D184" s="4">
        <v>261959403</v>
      </c>
      <c r="E184" s="4">
        <v>286973180</v>
      </c>
      <c r="F184" s="5">
        <v>321225412</v>
      </c>
      <c r="G184" s="4">
        <v>63997767</v>
      </c>
      <c r="H184" s="4">
        <v>83974215</v>
      </c>
      <c r="I184" s="4">
        <v>82445162</v>
      </c>
      <c r="J184" s="4">
        <v>81319892</v>
      </c>
    </row>
    <row r="185" spans="1:10" ht="16" x14ac:dyDescent="0.2">
      <c r="A185" s="3" t="s">
        <v>46</v>
      </c>
      <c r="B185" s="6">
        <v>31.68</v>
      </c>
      <c r="C185" s="6">
        <v>33.43</v>
      </c>
      <c r="D185" s="6">
        <v>31.02</v>
      </c>
      <c r="E185" s="6">
        <v>29.33</v>
      </c>
      <c r="F185" s="7">
        <v>28.62</v>
      </c>
      <c r="G185" s="6">
        <v>30.01</v>
      </c>
      <c r="H185" s="6">
        <v>29.33</v>
      </c>
      <c r="I185" s="6">
        <v>28.91</v>
      </c>
      <c r="J185" s="6">
        <v>28.62</v>
      </c>
    </row>
    <row r="186" spans="1:10" ht="16" x14ac:dyDescent="0.2">
      <c r="A186" s="3" t="s">
        <v>175</v>
      </c>
      <c r="B186" s="4">
        <v>111044260</v>
      </c>
      <c r="C186" s="4">
        <v>88965973</v>
      </c>
      <c r="D186" s="4">
        <v>237732417</v>
      </c>
      <c r="E186" s="4">
        <v>137815772</v>
      </c>
      <c r="F186" s="5">
        <v>152928791</v>
      </c>
      <c r="G186" s="4">
        <v>33951821</v>
      </c>
      <c r="H186" s="4">
        <v>12803765</v>
      </c>
      <c r="I186" s="4">
        <v>30758450</v>
      </c>
      <c r="J186" s="4">
        <v>71141950</v>
      </c>
    </row>
    <row r="187" spans="1:10" ht="16" x14ac:dyDescent="0.2">
      <c r="A187" s="3" t="s">
        <v>176</v>
      </c>
      <c r="B187" s="4">
        <v>133353912</v>
      </c>
      <c r="C187" s="4">
        <v>182870218</v>
      </c>
      <c r="D187" s="4">
        <v>194505033</v>
      </c>
      <c r="E187" s="4">
        <v>208865623</v>
      </c>
      <c r="F187" s="5">
        <v>229175531</v>
      </c>
      <c r="G187" s="4">
        <v>9527122</v>
      </c>
      <c r="H187" s="4">
        <v>48642995</v>
      </c>
      <c r="I187" s="4">
        <v>186882219</v>
      </c>
      <c r="J187" s="4">
        <v>-18825211</v>
      </c>
    </row>
    <row r="188" spans="1:10" ht="16" x14ac:dyDescent="0.2">
      <c r="A188" s="30" t="s">
        <v>177</v>
      </c>
      <c r="B188" s="28">
        <v>136467915</v>
      </c>
      <c r="C188" s="28">
        <v>187657498</v>
      </c>
      <c r="D188" s="28">
        <v>194505033</v>
      </c>
      <c r="E188" s="28">
        <v>220176105</v>
      </c>
      <c r="F188" s="29">
        <v>242790532</v>
      </c>
      <c r="G188" s="28">
        <v>11849044</v>
      </c>
      <c r="H188" s="28">
        <v>53833190</v>
      </c>
      <c r="I188" s="28">
        <v>189609591</v>
      </c>
      <c r="J188" s="28">
        <v>-15571308</v>
      </c>
    </row>
    <row r="189" spans="1:10" ht="16" x14ac:dyDescent="0.2">
      <c r="A189" s="23" t="s">
        <v>190</v>
      </c>
      <c r="B189" s="24"/>
      <c r="C189" s="25">
        <f>(C188/B188)-1</f>
        <v>0.37510342998938606</v>
      </c>
      <c r="D189" s="25">
        <f>(D188/C188)-1</f>
        <v>3.6489535845777965E-2</v>
      </c>
      <c r="E189" s="25">
        <f>(E188/D188)-1</f>
        <v>0.13198153078126262</v>
      </c>
      <c r="F189" s="25">
        <f t="shared" ref="F189:J189" si="8">(F188/E188)-1</f>
        <v>0.1027106324730378</v>
      </c>
      <c r="G189" s="25"/>
      <c r="H189" s="25">
        <f t="shared" si="8"/>
        <v>3.5432517593824446</v>
      </c>
      <c r="I189" s="25">
        <f t="shared" si="8"/>
        <v>2.5221689630504898</v>
      </c>
      <c r="J189" s="25">
        <f t="shared" si="8"/>
        <v>-1.0821229976705133</v>
      </c>
    </row>
    <row r="190" spans="1:10" ht="16" x14ac:dyDescent="0.2">
      <c r="A190" s="26" t="s">
        <v>191</v>
      </c>
      <c r="B190" s="27">
        <f t="shared" ref="B190:J190" si="9">B188/B2</f>
        <v>0.29126778081492927</v>
      </c>
      <c r="C190" s="27">
        <f t="shared" si="9"/>
        <v>0.31047559295676908</v>
      </c>
      <c r="D190" s="27">
        <f t="shared" si="9"/>
        <v>0.23034148990207914</v>
      </c>
      <c r="E190" s="27">
        <f t="shared" si="9"/>
        <v>0.22505384460954472</v>
      </c>
      <c r="F190" s="27">
        <f t="shared" si="9"/>
        <v>0.2163073424762024</v>
      </c>
      <c r="G190" s="27">
        <f t="shared" si="9"/>
        <v>5.2912207372499437E-2</v>
      </c>
      <c r="H190" s="27">
        <f t="shared" si="9"/>
        <v>0.19127511551401463</v>
      </c>
      <c r="I190" s="27">
        <f t="shared" si="9"/>
        <v>0.65999703204322957</v>
      </c>
      <c r="J190" s="27">
        <f t="shared" si="9"/>
        <v>-5.2456438486267909E-2</v>
      </c>
    </row>
    <row r="191" spans="1:10" ht="16" x14ac:dyDescent="0.2">
      <c r="A191" s="3" t="s">
        <v>178</v>
      </c>
      <c r="B191" s="4" t="s">
        <v>15</v>
      </c>
      <c r="C191" s="4">
        <v>165222871</v>
      </c>
      <c r="D191" s="4">
        <v>2582019682</v>
      </c>
      <c r="E191" s="4">
        <v>-1904388522</v>
      </c>
      <c r="F191" s="5">
        <v>161052379</v>
      </c>
      <c r="G191" s="4">
        <v>9428177</v>
      </c>
      <c r="H191" s="4">
        <v>43509536</v>
      </c>
      <c r="I191" s="4">
        <v>111448997</v>
      </c>
      <c r="J191" s="4">
        <v>-5841216</v>
      </c>
    </row>
    <row r="192" spans="1:10" ht="16" x14ac:dyDescent="0.2">
      <c r="A192" s="3" t="s">
        <v>179</v>
      </c>
      <c r="B192" s="6">
        <v>3.38</v>
      </c>
      <c r="C192" s="6">
        <v>4.6399999999999997</v>
      </c>
      <c r="D192" s="6">
        <v>3.07</v>
      </c>
      <c r="E192" s="6">
        <v>2.59</v>
      </c>
      <c r="F192" s="7">
        <v>2.81</v>
      </c>
      <c r="G192" s="6">
        <v>0.12</v>
      </c>
      <c r="H192" s="6">
        <v>0.6</v>
      </c>
      <c r="I192" s="6">
        <v>2.2799999999999998</v>
      </c>
      <c r="J192" s="6">
        <v>-0.23</v>
      </c>
    </row>
    <row r="193" spans="1:10" ht="16" x14ac:dyDescent="0.2">
      <c r="A193" s="3" t="s">
        <v>180</v>
      </c>
      <c r="B193" s="4" t="s">
        <v>15</v>
      </c>
      <c r="C193" s="4" t="s">
        <v>15</v>
      </c>
      <c r="D193" s="6">
        <v>57.64</v>
      </c>
      <c r="E193" s="6">
        <v>30.26</v>
      </c>
      <c r="F193" s="7">
        <v>43.37</v>
      </c>
      <c r="G193" s="4" t="s">
        <v>15</v>
      </c>
      <c r="H193" s="4" t="s">
        <v>15</v>
      </c>
      <c r="I193" s="6">
        <v>41.42</v>
      </c>
      <c r="J193" s="6">
        <v>43.6</v>
      </c>
    </row>
    <row r="194" spans="1:10" ht="16" x14ac:dyDescent="0.2">
      <c r="A194" s="3" t="s">
        <v>181</v>
      </c>
      <c r="B194" s="6">
        <v>2.61</v>
      </c>
      <c r="C194" s="6">
        <v>2.38</v>
      </c>
      <c r="D194" s="6">
        <v>-0.09</v>
      </c>
      <c r="E194" s="6">
        <v>3.84</v>
      </c>
      <c r="F194" s="7">
        <v>3.8</v>
      </c>
      <c r="G194" s="6">
        <v>0.92</v>
      </c>
      <c r="H194" s="6">
        <v>2.83</v>
      </c>
      <c r="I194" s="6">
        <v>12.52</v>
      </c>
      <c r="J194" s="6">
        <v>-1.05</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191:J195 A2:J2 A9:J11 A13 A37:J128 A130:J141 A144:J171 A188:C188 E188:J188 A142 A173:J187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A922-7D8A-1E44-A64C-6D78EAB20CB1}">
  <dimension ref="A1:P110"/>
  <sheetViews>
    <sheetView tabSelected="1" topLeftCell="B3" workbookViewId="0">
      <selection activeCell="H23" sqref="H23"/>
    </sheetView>
  </sheetViews>
  <sheetFormatPr baseColWidth="10" defaultRowHeight="15" x14ac:dyDescent="0.2"/>
  <cols>
    <col min="1" max="11" width="18.83203125" customWidth="1"/>
    <col min="12" max="12" width="20.83203125" customWidth="1"/>
    <col min="13" max="18" width="18.83203125" customWidth="1"/>
  </cols>
  <sheetData>
    <row r="1" spans="1:16" s="118" customFormat="1" ht="22" customHeight="1" x14ac:dyDescent="0.2">
      <c r="A1" s="117" t="e" vm="1">
        <v>#VALUE!</v>
      </c>
      <c r="B1" s="117"/>
      <c r="C1" s="117"/>
      <c r="D1" s="117"/>
      <c r="E1" s="117"/>
      <c r="F1" s="117"/>
      <c r="G1" s="117"/>
      <c r="H1" s="117"/>
      <c r="I1" s="117"/>
      <c r="J1" s="117"/>
      <c r="K1" s="117"/>
      <c r="L1" s="117"/>
      <c r="M1" s="117"/>
      <c r="N1" s="117"/>
      <c r="O1" s="117"/>
      <c r="P1" s="117"/>
    </row>
    <row r="2" spans="1:16" s="118" customFormat="1" ht="22" customHeight="1" thickBot="1" x14ac:dyDescent="0.25">
      <c r="A2" s="117"/>
      <c r="B2" s="117"/>
      <c r="C2" s="117"/>
      <c r="D2" s="117"/>
      <c r="E2" s="117"/>
      <c r="F2" s="117"/>
      <c r="G2" s="117"/>
      <c r="H2" s="117"/>
      <c r="I2" s="117"/>
      <c r="J2" s="117"/>
      <c r="K2" s="117"/>
      <c r="L2" s="117"/>
      <c r="M2" s="117"/>
      <c r="N2" s="117"/>
      <c r="O2" s="117"/>
      <c r="P2" s="117"/>
    </row>
    <row r="3" spans="1:16" ht="22" customHeight="1" x14ac:dyDescent="0.2">
      <c r="A3" s="37" cm="1">
        <f t="array" ref="A3">_FV(A1,"Market cap",TRUE)*K8</f>
        <v>5505859041.6000004</v>
      </c>
      <c r="B3" s="38" t="s">
        <v>245</v>
      </c>
      <c r="C3" s="39">
        <f>Financials!F8*0.01</f>
        <v>0.34970000000000001</v>
      </c>
      <c r="D3" s="38" t="s">
        <v>193</v>
      </c>
      <c r="E3" s="39">
        <f>SUM(C11:E11)/3</f>
        <v>0.28189521606216</v>
      </c>
      <c r="F3" s="40" t="s">
        <v>194</v>
      </c>
      <c r="G3" s="41">
        <f>AVERAGE(Financials!F129:J129)</f>
        <v>5.4443141429305618E-5</v>
      </c>
      <c r="H3" s="40" t="s">
        <v>195</v>
      </c>
      <c r="I3" s="42">
        <f>J15*(1+I7)/(I6-I7)</f>
        <v>4158208862.9049606</v>
      </c>
      <c r="J3" s="43" t="s">
        <v>196</v>
      </c>
      <c r="K3" s="44">
        <f>(Financials!F172*-1)/Model!A3</f>
        <v>0</v>
      </c>
      <c r="L3" s="45" t="s">
        <v>197</v>
      </c>
      <c r="M3" s="46"/>
      <c r="N3" s="119" t="s">
        <v>198</v>
      </c>
      <c r="O3" s="120"/>
      <c r="P3" s="46"/>
    </row>
    <row r="4" spans="1:16" ht="22" customHeight="1" x14ac:dyDescent="0.2">
      <c r="A4" s="47">
        <f>Financials!F56-Financials!F96-Financials!F105</f>
        <v>-164700684</v>
      </c>
      <c r="B4" s="48" t="s">
        <v>199</v>
      </c>
      <c r="C4" s="49">
        <f>Financials!F17*0.01</f>
        <v>0.14460000000000001</v>
      </c>
      <c r="D4" s="48" t="s">
        <v>200</v>
      </c>
      <c r="E4" s="49">
        <f>SUM(C13:E13)/3</f>
        <v>0.22230270753999079</v>
      </c>
      <c r="F4" s="50" t="s">
        <v>201</v>
      </c>
      <c r="G4" s="51">
        <f>A5*(1+(5*G3))</f>
        <v>81912051.678926468</v>
      </c>
      <c r="H4" s="50" t="s">
        <v>202</v>
      </c>
      <c r="I4" s="52">
        <f>NPV(I6,F15,G15,H15,I15,(J15+I3))</f>
        <v>3661196175.4344521</v>
      </c>
      <c r="J4" s="50" t="s">
        <v>203</v>
      </c>
      <c r="K4" s="53" cm="1">
        <f t="array" ref="K4">_FV(A1,"Change (%)",TRUE)</f>
        <v>2.0139999999999998E-2</v>
      </c>
      <c r="L4" s="54" t="s">
        <v>204</v>
      </c>
      <c r="M4" s="46"/>
      <c r="N4" s="121" t="s">
        <v>205</v>
      </c>
      <c r="O4" s="122"/>
      <c r="P4" s="46"/>
    </row>
    <row r="5" spans="1:16" ht="22" customHeight="1" x14ac:dyDescent="0.2">
      <c r="A5" s="47" cm="1">
        <f t="array" ref="A5">_FV(A1,"Shares outstanding",TRUE)</f>
        <v>81889760</v>
      </c>
      <c r="B5" s="48" t="s">
        <v>206</v>
      </c>
      <c r="C5" s="49">
        <f>F14</f>
        <v>8.3003952569169967E-2</v>
      </c>
      <c r="D5" s="55" t="s">
        <v>207</v>
      </c>
      <c r="E5" s="49">
        <f>SUM(C16:E16)/3</f>
        <v>0.18119149887214223</v>
      </c>
      <c r="F5" s="50" t="s">
        <v>208</v>
      </c>
      <c r="G5" s="51">
        <f>Financials!F56</f>
        <v>187997906</v>
      </c>
      <c r="H5" s="50" t="s">
        <v>209</v>
      </c>
      <c r="I5" s="52">
        <f>I4+G5-G6</f>
        <v>3496495491.4344521</v>
      </c>
      <c r="J5" s="50" t="s">
        <v>210</v>
      </c>
      <c r="K5" s="56" cm="1">
        <f t="array" ref="K5">_FV(A1,"Price")</f>
        <v>93.2</v>
      </c>
      <c r="L5" s="57" t="s">
        <v>243</v>
      </c>
      <c r="M5" s="46"/>
      <c r="N5" s="58" t="s">
        <v>211</v>
      </c>
      <c r="O5" s="59">
        <f>Financials!F20</f>
        <v>16846136</v>
      </c>
      <c r="P5" s="46"/>
    </row>
    <row r="6" spans="1:16" ht="22" customHeight="1" x14ac:dyDescent="0.2">
      <c r="A6" s="60">
        <f>O20/F10</f>
        <v>4.9186982872200264</v>
      </c>
      <c r="B6" s="48" t="s">
        <v>212</v>
      </c>
      <c r="C6" s="49">
        <f>F17</f>
        <v>0.21607378129117263</v>
      </c>
      <c r="D6" s="55" t="s">
        <v>191</v>
      </c>
      <c r="E6" s="49">
        <f>Financials!F33/Financials!F126</f>
        <v>0.11147380801139339</v>
      </c>
      <c r="F6" s="48" t="s">
        <v>213</v>
      </c>
      <c r="G6" s="51">
        <f>Financials!F96+Financials!F105</f>
        <v>352698590</v>
      </c>
      <c r="H6" s="50" t="s">
        <v>214</v>
      </c>
      <c r="I6" s="53">
        <f>N25</f>
        <v>9.4072360112124706E-2</v>
      </c>
      <c r="J6" s="50" t="s">
        <v>215</v>
      </c>
      <c r="K6" s="61">
        <f>(I5/G4)*K9</f>
        <v>57.890714348977369</v>
      </c>
      <c r="L6" s="62" t="s">
        <v>244</v>
      </c>
      <c r="M6" s="46"/>
      <c r="N6" s="58" t="s">
        <v>216</v>
      </c>
      <c r="O6" s="59">
        <f>Financials!F96</f>
        <v>237607873</v>
      </c>
      <c r="P6" s="46"/>
    </row>
    <row r="7" spans="1:16" ht="22" customHeight="1" thickBot="1" x14ac:dyDescent="0.25">
      <c r="A7" s="63">
        <f>O20/F12</f>
        <v>59.258603174603181</v>
      </c>
      <c r="B7" s="64" t="s">
        <v>217</v>
      </c>
      <c r="C7" s="65">
        <f>F15/A3</f>
        <v>4.3929057785996921E-2</v>
      </c>
      <c r="D7" s="64" t="s">
        <v>218</v>
      </c>
      <c r="E7" s="66">
        <f>(Financials!F16*(1-0.25))/(Financials!F126+Financials!F105+Financials!F96)</f>
        <v>0.13323078533758653</v>
      </c>
      <c r="F7" s="64" t="s">
        <v>187</v>
      </c>
      <c r="G7" s="67">
        <f>(Financials!F96+Financials!F105)/Financials!F126</f>
        <v>0.62888946374564703</v>
      </c>
      <c r="H7" s="68" t="s">
        <v>219</v>
      </c>
      <c r="I7" s="69">
        <v>2.5000000000000001E-2</v>
      </c>
      <c r="J7" s="70" t="s">
        <v>220</v>
      </c>
      <c r="K7" s="108">
        <f>K6/K5-1</f>
        <v>-0.3788549962556077</v>
      </c>
      <c r="L7" s="62" t="s">
        <v>221</v>
      </c>
      <c r="M7" s="46"/>
      <c r="N7" s="58" t="s">
        <v>222</v>
      </c>
      <c r="O7" s="59">
        <f>Financials!F105</f>
        <v>115090717</v>
      </c>
      <c r="P7" s="46"/>
    </row>
    <row r="8" spans="1:16" ht="22" customHeight="1" x14ac:dyDescent="0.2">
      <c r="A8" s="71"/>
      <c r="B8" s="46"/>
      <c r="C8" s="46"/>
      <c r="D8" s="46"/>
      <c r="E8" s="46"/>
      <c r="F8" s="46"/>
      <c r="G8" s="46"/>
      <c r="H8" s="46"/>
      <c r="I8" s="46"/>
      <c r="J8" s="72"/>
      <c r="K8" s="109" cm="1">
        <f t="array" ref="K8">_FV(L8,"Previous close",TRUE)</f>
        <v>0.73740000000000006</v>
      </c>
      <c r="L8" s="110" t="e" vm="2">
        <v>#VALUE!</v>
      </c>
      <c r="M8" s="46"/>
      <c r="N8" s="73" t="s">
        <v>205</v>
      </c>
      <c r="O8" s="74">
        <f>O5/(O6+O7)</f>
        <v>4.7763547906443292E-2</v>
      </c>
      <c r="P8" s="46"/>
    </row>
    <row r="9" spans="1:16" ht="22" customHeight="1" x14ac:dyDescent="0.2">
      <c r="A9" s="111" t="s">
        <v>242</v>
      </c>
      <c r="B9" s="75">
        <v>2019</v>
      </c>
      <c r="C9" s="75">
        <v>2020</v>
      </c>
      <c r="D9" s="75">
        <v>2021</v>
      </c>
      <c r="E9" s="76">
        <v>2022</v>
      </c>
      <c r="F9" s="77">
        <v>2023</v>
      </c>
      <c r="G9" s="78">
        <v>2024</v>
      </c>
      <c r="H9" s="78">
        <v>2025</v>
      </c>
      <c r="I9" s="78">
        <v>2026</v>
      </c>
      <c r="J9" s="79">
        <v>2027</v>
      </c>
      <c r="K9" s="109" cm="1">
        <f t="array" ref="K9">_FV(L9,"Previous close",TRUE)</f>
        <v>1.3562000000000001</v>
      </c>
      <c r="L9" s="110" t="e" vm="3">
        <v>#VALUE!</v>
      </c>
      <c r="M9" s="72"/>
      <c r="N9" s="58" t="s">
        <v>223</v>
      </c>
      <c r="O9" s="59">
        <f>Financials!F25</f>
        <v>23751077</v>
      </c>
      <c r="P9" s="46"/>
    </row>
    <row r="10" spans="1:16" ht="22" customHeight="1" x14ac:dyDescent="0.2">
      <c r="A10" s="80" t="s">
        <v>224</v>
      </c>
      <c r="B10" s="81">
        <v>468530761</v>
      </c>
      <c r="C10" s="81">
        <v>604419485</v>
      </c>
      <c r="D10" s="81">
        <v>844420313</v>
      </c>
      <c r="E10" s="82">
        <v>978326344</v>
      </c>
      <c r="F10" s="81">
        <f>K8*1518000000</f>
        <v>1119373200</v>
      </c>
      <c r="G10" s="81">
        <f>K8*1632000000</f>
        <v>1203436800</v>
      </c>
      <c r="H10" s="81">
        <f>K8*1690000000</f>
        <v>1246206000</v>
      </c>
      <c r="I10" s="81">
        <f>K8*1723000000</f>
        <v>1270540200</v>
      </c>
      <c r="J10" s="82">
        <f>K8*1758000000</f>
        <v>1296349200</v>
      </c>
      <c r="K10" s="83" t="s">
        <v>225</v>
      </c>
      <c r="L10" s="72"/>
      <c r="N10" s="58" t="s">
        <v>226</v>
      </c>
      <c r="O10" s="59">
        <f>Financials!F24</f>
        <v>123830721</v>
      </c>
      <c r="P10" s="46"/>
    </row>
    <row r="11" spans="1:16" ht="22" customHeight="1" x14ac:dyDescent="0.2">
      <c r="A11" s="84"/>
      <c r="B11" s="85"/>
      <c r="C11" s="85">
        <f t="shared" ref="C11:J11" si="0">(C10/B10)-1</f>
        <v>0.29003159517204047</v>
      </c>
      <c r="D11" s="85">
        <f t="shared" si="0"/>
        <v>0.39707658994481299</v>
      </c>
      <c r="E11" s="85">
        <f t="shared" si="0"/>
        <v>0.15857746306962661</v>
      </c>
      <c r="F11" s="86">
        <f t="shared" si="0"/>
        <v>0.14417158125714336</v>
      </c>
      <c r="G11" s="85">
        <f t="shared" si="0"/>
        <v>7.5098814229249022E-2</v>
      </c>
      <c r="H11" s="85">
        <f t="shared" si="0"/>
        <v>3.5539215686274606E-2</v>
      </c>
      <c r="I11" s="85">
        <f t="shared" si="0"/>
        <v>1.9526627218934944E-2</v>
      </c>
      <c r="J11" s="87">
        <f t="shared" si="0"/>
        <v>2.031340684852001E-2</v>
      </c>
      <c r="K11" s="87">
        <f>SUM(F11:J11)/5</f>
        <v>5.8929929048024389E-2</v>
      </c>
      <c r="L11" s="72"/>
      <c r="M11" s="72"/>
      <c r="N11" s="58" t="s">
        <v>227</v>
      </c>
      <c r="O11" s="88">
        <f>O9/O10</f>
        <v>0.19180278373732476</v>
      </c>
      <c r="P11" s="46"/>
    </row>
    <row r="12" spans="1:16" ht="22" customHeight="1" x14ac:dyDescent="0.2">
      <c r="A12" s="80" t="s">
        <v>133</v>
      </c>
      <c r="B12" s="81">
        <v>52158003</v>
      </c>
      <c r="C12" s="81">
        <v>77920934</v>
      </c>
      <c r="D12" s="81">
        <v>137250242</v>
      </c>
      <c r="E12" s="81">
        <v>56487262</v>
      </c>
      <c r="F12" s="89">
        <f>K8*126000000</f>
        <v>92912400</v>
      </c>
      <c r="G12" s="81">
        <f>K8*144000000</f>
        <v>106185600.00000001</v>
      </c>
      <c r="H12" s="81">
        <f>K8*149000000</f>
        <v>109872600.00000001</v>
      </c>
      <c r="I12" s="81">
        <f>K8*152000000</f>
        <v>112084800.00000001</v>
      </c>
      <c r="J12" s="82">
        <f>K8*155000000</f>
        <v>114297000.00000001</v>
      </c>
      <c r="K12" s="90" t="s">
        <v>228</v>
      </c>
      <c r="L12" s="72"/>
      <c r="M12" s="72"/>
      <c r="N12" s="58" t="s">
        <v>229</v>
      </c>
      <c r="O12" s="88">
        <f>O8*(1-O11)</f>
        <v>3.8602366456816396E-2</v>
      </c>
      <c r="P12" s="46"/>
    </row>
    <row r="13" spans="1:16" ht="22" customHeight="1" x14ac:dyDescent="0.2">
      <c r="A13" s="84"/>
      <c r="B13" s="85"/>
      <c r="C13" s="85">
        <f t="shared" ref="C13:J13" si="1">(C12/B12)-1</f>
        <v>0.49394013417269833</v>
      </c>
      <c r="D13" s="85">
        <f t="shared" si="1"/>
        <v>0.76140396366398799</v>
      </c>
      <c r="E13" s="85">
        <f t="shared" si="1"/>
        <v>-0.58843597521671398</v>
      </c>
      <c r="F13" s="86">
        <f t="shared" si="1"/>
        <v>0.64483808756742356</v>
      </c>
      <c r="G13" s="85">
        <f t="shared" si="1"/>
        <v>0.14285714285714302</v>
      </c>
      <c r="H13" s="85">
        <f t="shared" si="1"/>
        <v>3.4722222222222321E-2</v>
      </c>
      <c r="I13" s="85">
        <f t="shared" si="1"/>
        <v>2.0134228187919545E-2</v>
      </c>
      <c r="J13" s="87">
        <f t="shared" si="1"/>
        <v>1.9736842105263053E-2</v>
      </c>
      <c r="K13" s="87">
        <f>AVERAGE(G13:J13)</f>
        <v>5.4362608843136984E-2</v>
      </c>
      <c r="L13" s="72"/>
      <c r="M13" s="72"/>
      <c r="N13" s="121" t="s">
        <v>230</v>
      </c>
      <c r="O13" s="122"/>
      <c r="P13" s="46"/>
    </row>
    <row r="14" spans="1:16" ht="22" customHeight="1" x14ac:dyDescent="0.2">
      <c r="A14" s="91" t="s">
        <v>231</v>
      </c>
      <c r="B14" s="92">
        <f>B12/B10</f>
        <v>0.11132247301901273</v>
      </c>
      <c r="C14" s="92">
        <f t="shared" ref="C14:J14" si="2">C12/C10</f>
        <v>0.12891863338919327</v>
      </c>
      <c r="D14" s="92">
        <f t="shared" si="2"/>
        <v>0.16253782611219586</v>
      </c>
      <c r="E14" s="92">
        <f t="shared" si="2"/>
        <v>5.7738670073061021E-2</v>
      </c>
      <c r="F14" s="93">
        <f t="shared" si="2"/>
        <v>8.3003952569169967E-2</v>
      </c>
      <c r="G14" s="92">
        <f t="shared" si="2"/>
        <v>8.8235294117647065E-2</v>
      </c>
      <c r="H14" s="92">
        <f t="shared" si="2"/>
        <v>8.8165680473372796E-2</v>
      </c>
      <c r="I14" s="92">
        <f t="shared" si="2"/>
        <v>8.8218224027858394E-2</v>
      </c>
      <c r="J14" s="94">
        <f t="shared" si="2"/>
        <v>8.8168373151308321E-2</v>
      </c>
      <c r="K14" s="94"/>
      <c r="L14" s="72"/>
      <c r="M14" s="72"/>
      <c r="N14" s="58" t="s">
        <v>232</v>
      </c>
      <c r="O14" s="88">
        <f>'[1]US Treasury Bonds'!$C$8</f>
        <v>4.2709999999999998E-2</v>
      </c>
      <c r="P14" s="46"/>
    </row>
    <row r="15" spans="1:16" ht="22" customHeight="1" x14ac:dyDescent="0.2">
      <c r="A15" s="80" t="s">
        <v>176</v>
      </c>
      <c r="B15" s="81">
        <v>136467915</v>
      </c>
      <c r="C15" s="81">
        <v>187657498</v>
      </c>
      <c r="D15" s="81">
        <v>194505033</v>
      </c>
      <c r="E15" s="81">
        <v>220176105</v>
      </c>
      <c r="F15" s="89">
        <f>K8*328000000</f>
        <v>241867200.00000003</v>
      </c>
      <c r="G15" s="81">
        <f>K8*350000000</f>
        <v>258090000.00000003</v>
      </c>
      <c r="H15" s="81">
        <f>K8*360000000</f>
        <v>265464000.00000003</v>
      </c>
      <c r="I15" s="81">
        <f>K8*370000000</f>
        <v>272838000</v>
      </c>
      <c r="J15" s="82">
        <f>K8*380000000</f>
        <v>280212000</v>
      </c>
      <c r="K15" s="90" t="s">
        <v>233</v>
      </c>
      <c r="L15" s="72"/>
      <c r="M15" s="72"/>
      <c r="N15" s="58" t="s">
        <v>234</v>
      </c>
      <c r="O15" s="95">
        <f>1.33</f>
        <v>1.33</v>
      </c>
      <c r="P15" s="46"/>
    </row>
    <row r="16" spans="1:16" ht="22" customHeight="1" x14ac:dyDescent="0.2">
      <c r="A16" s="96"/>
      <c r="B16" s="85"/>
      <c r="C16" s="85">
        <f t="shared" ref="C16:J16" si="3">(C15/B15)-1</f>
        <v>0.37510342998938606</v>
      </c>
      <c r="D16" s="85">
        <f t="shared" si="3"/>
        <v>3.6489535845777965E-2</v>
      </c>
      <c r="E16" s="85">
        <f t="shared" si="3"/>
        <v>0.13198153078126262</v>
      </c>
      <c r="F16" s="86">
        <f t="shared" si="3"/>
        <v>9.851702572356813E-2</v>
      </c>
      <c r="G16" s="85">
        <f t="shared" si="3"/>
        <v>6.7073170731707377E-2</v>
      </c>
      <c r="H16" s="85">
        <f t="shared" si="3"/>
        <v>2.857142857142847E-2</v>
      </c>
      <c r="I16" s="85">
        <f t="shared" si="3"/>
        <v>2.7777777777777679E-2</v>
      </c>
      <c r="J16" s="87">
        <f t="shared" si="3"/>
        <v>2.7027027027026973E-2</v>
      </c>
      <c r="K16" s="87">
        <f>AVERAGE(G16:J16)</f>
        <v>3.7612351026985125E-2</v>
      </c>
      <c r="L16" s="72"/>
      <c r="M16" s="72"/>
      <c r="N16" s="58" t="s">
        <v>235</v>
      </c>
      <c r="O16" s="88">
        <v>8.4000000000000005E-2</v>
      </c>
      <c r="P16" s="46"/>
    </row>
    <row r="17" spans="1:16" ht="22" customHeight="1" x14ac:dyDescent="0.2">
      <c r="A17" s="91" t="s">
        <v>191</v>
      </c>
      <c r="B17" s="92">
        <f>B15/B10</f>
        <v>0.29126778081492927</v>
      </c>
      <c r="C17" s="92">
        <f t="shared" ref="C17:J17" si="4">C15/C10</f>
        <v>0.31047559295676908</v>
      </c>
      <c r="D17" s="92">
        <f t="shared" si="4"/>
        <v>0.23034148990207914</v>
      </c>
      <c r="E17" s="94">
        <f t="shared" si="4"/>
        <v>0.22505384460954472</v>
      </c>
      <c r="F17" s="92">
        <f t="shared" si="4"/>
        <v>0.21607378129117263</v>
      </c>
      <c r="G17" s="92">
        <f t="shared" si="4"/>
        <v>0.21446078431372551</v>
      </c>
      <c r="H17" s="92">
        <f t="shared" si="4"/>
        <v>0.21301775147928997</v>
      </c>
      <c r="I17" s="92">
        <f t="shared" si="4"/>
        <v>0.21474172954149739</v>
      </c>
      <c r="J17" s="94">
        <f t="shared" si="4"/>
        <v>0.2161547212741752</v>
      </c>
      <c r="K17" s="94"/>
      <c r="L17" s="72"/>
      <c r="M17" s="72"/>
      <c r="N17" s="97" t="s">
        <v>230</v>
      </c>
      <c r="O17" s="98">
        <f>(O14)+((O15)*(O16-O14))</f>
        <v>9.762570000000001E-2</v>
      </c>
      <c r="P17" s="46"/>
    </row>
    <row r="18" spans="1:16" ht="22" customHeight="1" x14ac:dyDescent="0.2">
      <c r="A18" s="99" t="s">
        <v>187</v>
      </c>
      <c r="B18" s="100">
        <v>0.16279191137934579</v>
      </c>
      <c r="C18" s="100">
        <v>0.19581014502754232</v>
      </c>
      <c r="D18" s="100">
        <v>0.15538573361998376</v>
      </c>
      <c r="E18" s="100">
        <v>0.12610115399020003</v>
      </c>
      <c r="F18" s="101"/>
      <c r="G18" s="100"/>
      <c r="H18" s="100"/>
      <c r="I18" s="100"/>
      <c r="J18" s="102"/>
      <c r="K18" s="103"/>
      <c r="L18" s="72"/>
      <c r="M18" s="72"/>
      <c r="N18" s="121" t="s">
        <v>236</v>
      </c>
      <c r="O18" s="122"/>
      <c r="P18" s="46"/>
    </row>
    <row r="19" spans="1:16" ht="22" customHeight="1" x14ac:dyDescent="0.2">
      <c r="A19" s="72"/>
      <c r="B19" s="72"/>
      <c r="C19" s="72"/>
      <c r="D19" s="72"/>
      <c r="E19" s="72"/>
      <c r="F19" s="72" t="s">
        <v>237</v>
      </c>
      <c r="G19" s="72"/>
      <c r="H19" s="72"/>
      <c r="I19" s="72"/>
      <c r="J19" s="72"/>
      <c r="K19" s="72"/>
      <c r="L19" s="72"/>
      <c r="M19" s="72"/>
      <c r="N19" s="58" t="s">
        <v>214</v>
      </c>
      <c r="O19" s="104">
        <f>O6+O7</f>
        <v>352698590</v>
      </c>
      <c r="P19" s="46"/>
    </row>
    <row r="20" spans="1:16" ht="22" customHeight="1" x14ac:dyDescent="0.2">
      <c r="B20" s="105"/>
      <c r="C20" s="105"/>
      <c r="D20" s="105"/>
      <c r="E20" s="105"/>
      <c r="F20" s="72" t="s">
        <v>237</v>
      </c>
      <c r="G20" s="72"/>
      <c r="H20" s="72"/>
      <c r="I20" s="72"/>
      <c r="J20" s="72"/>
      <c r="K20" s="72"/>
      <c r="L20" s="72"/>
      <c r="M20" s="72"/>
      <c r="N20" s="58" t="s">
        <v>192</v>
      </c>
      <c r="O20" s="104">
        <f>A3</f>
        <v>5505859041.6000004</v>
      </c>
      <c r="P20" s="46"/>
    </row>
    <row r="21" spans="1:16" ht="22" customHeight="1" x14ac:dyDescent="0.2">
      <c r="A21" s="112" t="str" cm="1">
        <f t="array" ref="A21">_FV(A1,"Industry")</f>
        <v>Software &amp; IT Services</v>
      </c>
      <c r="B21" s="112"/>
      <c r="C21" s="123" cm="1">
        <f t="array" ref="C21">_FV(A1,"Year incorporated",TRUE)</f>
        <v>2020</v>
      </c>
      <c r="D21" s="123"/>
      <c r="E21" s="123"/>
      <c r="F21" s="72"/>
      <c r="G21" s="72"/>
      <c r="H21" s="72"/>
      <c r="I21" s="72"/>
      <c r="J21" s="72"/>
      <c r="K21" s="72"/>
      <c r="M21" s="72"/>
      <c r="N21" s="58" t="s">
        <v>238</v>
      </c>
      <c r="O21" s="104">
        <f>O19+O20</f>
        <v>5858557631.6000004</v>
      </c>
      <c r="P21" s="46"/>
    </row>
    <row r="22" spans="1:16" ht="22" customHeight="1" x14ac:dyDescent="0.2">
      <c r="A22" s="112" t="str" cm="1">
        <f t="array" ref="A22">_FV(A1,"Description")</f>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approximately 20 diverse markets primarily in Europe. Its three companies, namely Total Specific Solutions (TSS) Public, TSS Blue and Topicus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v>
      </c>
      <c r="B22" s="112"/>
      <c r="C22" s="112"/>
      <c r="D22" s="112"/>
      <c r="E22" s="112"/>
      <c r="F22" s="72"/>
      <c r="G22" s="72"/>
      <c r="H22" s="72"/>
      <c r="I22" s="72"/>
      <c r="J22" s="72"/>
      <c r="K22" s="72"/>
      <c r="L22" s="72"/>
      <c r="M22" s="72"/>
      <c r="N22" s="73" t="s">
        <v>239</v>
      </c>
      <c r="O22" s="106">
        <f>(O19/O21)</f>
        <v>6.020229076481344E-2</v>
      </c>
      <c r="P22" s="46"/>
    </row>
    <row r="23" spans="1:16" ht="22" customHeight="1" x14ac:dyDescent="0.2">
      <c r="A23" s="112"/>
      <c r="B23" s="112"/>
      <c r="C23" s="112"/>
      <c r="D23" s="112"/>
      <c r="E23" s="112"/>
      <c r="F23" s="72"/>
      <c r="G23" s="72"/>
      <c r="H23" s="72"/>
      <c r="I23" s="72"/>
      <c r="J23" s="72"/>
      <c r="K23" s="72"/>
      <c r="L23" s="72"/>
      <c r="M23" s="72"/>
      <c r="N23" s="97" t="s">
        <v>240</v>
      </c>
      <c r="O23" s="107">
        <f>O20/O21</f>
        <v>0.93979770923518657</v>
      </c>
      <c r="P23" s="46"/>
    </row>
    <row r="24" spans="1:16" ht="22" customHeight="1" x14ac:dyDescent="0.2">
      <c r="A24" s="112"/>
      <c r="B24" s="112"/>
      <c r="C24" s="112"/>
      <c r="D24" s="112"/>
      <c r="E24" s="112"/>
      <c r="F24" s="72"/>
      <c r="G24" s="72"/>
      <c r="H24" s="72"/>
      <c r="I24" s="72"/>
      <c r="J24" s="72"/>
      <c r="K24" s="72"/>
      <c r="L24" s="72"/>
      <c r="M24" s="72"/>
      <c r="N24" s="113" t="s">
        <v>241</v>
      </c>
      <c r="O24" s="114"/>
      <c r="P24" s="46"/>
    </row>
    <row r="25" spans="1:16" ht="22" customHeight="1" x14ac:dyDescent="0.2">
      <c r="A25" s="112"/>
      <c r="B25" s="112"/>
      <c r="C25" s="112"/>
      <c r="D25" s="112"/>
      <c r="E25" s="112"/>
      <c r="F25" s="72"/>
      <c r="G25" s="72"/>
      <c r="H25" s="72"/>
      <c r="I25" s="72"/>
      <c r="J25" s="72"/>
      <c r="K25" s="72"/>
      <c r="L25" s="72"/>
      <c r="M25" s="72"/>
      <c r="N25" s="115">
        <f>(O22*O12)+(O23*O17)</f>
        <v>9.4072360112124706E-2</v>
      </c>
      <c r="O25" s="116"/>
      <c r="P25" s="46"/>
    </row>
    <row r="26" spans="1:16" ht="22" customHeight="1" x14ac:dyDescent="0.2">
      <c r="A26" s="112"/>
      <c r="B26" s="112"/>
      <c r="C26" s="112"/>
      <c r="D26" s="112"/>
      <c r="E26" s="112"/>
      <c r="F26" s="72"/>
      <c r="G26" s="72"/>
      <c r="H26" s="72"/>
      <c r="I26" s="72"/>
      <c r="J26" s="72"/>
      <c r="K26" s="72"/>
      <c r="L26" s="72"/>
      <c r="M26" s="72"/>
      <c r="N26" s="72"/>
      <c r="O26" s="46"/>
      <c r="P26" s="46"/>
    </row>
    <row r="27" spans="1:16" ht="22" customHeight="1" x14ac:dyDescent="0.2">
      <c r="A27" s="112"/>
      <c r="B27" s="112"/>
      <c r="C27" s="112"/>
      <c r="D27" s="112"/>
      <c r="E27" s="112"/>
      <c r="F27" s="72"/>
      <c r="G27" s="72"/>
      <c r="H27" s="72"/>
      <c r="I27" s="72"/>
      <c r="J27" s="72"/>
      <c r="K27" s="72"/>
      <c r="L27" s="72"/>
      <c r="M27" s="72"/>
      <c r="N27" s="72"/>
      <c r="O27" s="46"/>
      <c r="P27" s="46"/>
    </row>
    <row r="28" spans="1:16" ht="22" customHeight="1" x14ac:dyDescent="0.2">
      <c r="A28" s="112"/>
      <c r="B28" s="112"/>
      <c r="C28" s="112"/>
      <c r="D28" s="112"/>
      <c r="E28" s="112"/>
      <c r="F28" s="72"/>
      <c r="G28" s="72"/>
      <c r="H28" s="72"/>
      <c r="I28" s="72"/>
      <c r="J28" s="72"/>
      <c r="K28" s="72"/>
      <c r="L28" s="72"/>
      <c r="M28" s="72"/>
      <c r="N28" s="72"/>
      <c r="O28" s="46"/>
      <c r="P28" s="46"/>
    </row>
    <row r="29" spans="1:16" ht="22" customHeight="1" x14ac:dyDescent="0.2">
      <c r="A29" s="112"/>
      <c r="B29" s="112"/>
      <c r="C29" s="112"/>
      <c r="D29" s="112"/>
      <c r="E29" s="112"/>
      <c r="F29" s="72"/>
      <c r="G29" s="72"/>
      <c r="H29" s="72"/>
      <c r="I29" s="72"/>
      <c r="J29" s="72"/>
      <c r="K29" s="72"/>
      <c r="L29" s="72"/>
      <c r="M29" s="72"/>
      <c r="N29" s="72"/>
      <c r="O29" s="46"/>
      <c r="P29" s="46"/>
    </row>
    <row r="30" spans="1:16" ht="22" customHeight="1" x14ac:dyDescent="0.2">
      <c r="A30" s="112"/>
      <c r="B30" s="112"/>
      <c r="C30" s="112"/>
      <c r="D30" s="112"/>
      <c r="E30" s="112"/>
      <c r="F30" s="72"/>
      <c r="G30" s="72"/>
      <c r="H30" s="72"/>
      <c r="I30" s="72"/>
      <c r="J30" s="72"/>
      <c r="K30" s="72"/>
      <c r="L30" s="72"/>
      <c r="M30" s="72"/>
      <c r="N30" s="72"/>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72"/>
      <c r="B33" s="72"/>
      <c r="C33" s="72"/>
      <c r="D33" s="72"/>
      <c r="E33" s="72"/>
      <c r="F33" s="72"/>
      <c r="G33" s="72"/>
      <c r="H33" s="72"/>
      <c r="I33" s="72"/>
      <c r="J33" s="72"/>
      <c r="K33" s="72"/>
      <c r="L33" s="72"/>
      <c r="M33" s="72"/>
      <c r="N33" s="72"/>
      <c r="O33" s="72"/>
      <c r="P33" s="72"/>
    </row>
    <row r="34" spans="1:16" x14ac:dyDescent="0.2">
      <c r="A34" s="72"/>
      <c r="B34" s="72"/>
      <c r="C34" s="72"/>
      <c r="D34" s="72"/>
      <c r="E34" s="72"/>
      <c r="F34" s="72"/>
      <c r="G34" s="72"/>
      <c r="H34" s="72"/>
      <c r="I34" s="72"/>
      <c r="J34" s="72"/>
      <c r="K34" s="72"/>
      <c r="L34" s="72"/>
      <c r="M34" s="72"/>
      <c r="N34" s="72"/>
      <c r="O34" s="72"/>
      <c r="P34" s="72"/>
    </row>
    <row r="35" spans="1:16" x14ac:dyDescent="0.2">
      <c r="A35" s="72"/>
      <c r="B35" s="72"/>
      <c r="C35" s="72"/>
      <c r="D35" s="72"/>
      <c r="E35" s="72"/>
      <c r="F35" s="72"/>
      <c r="G35" s="72"/>
      <c r="H35" s="72"/>
      <c r="I35" s="72"/>
      <c r="J35" s="72"/>
      <c r="K35" s="72"/>
      <c r="L35" s="72"/>
      <c r="M35" s="72"/>
      <c r="N35" s="72"/>
      <c r="O35" s="72"/>
      <c r="P35" s="72"/>
    </row>
    <row r="36" spans="1:16" x14ac:dyDescent="0.2">
      <c r="A36" s="72"/>
      <c r="B36" s="72"/>
      <c r="C36" s="72"/>
      <c r="D36" s="72"/>
      <c r="E36" s="72"/>
      <c r="F36" s="72"/>
      <c r="G36" s="72"/>
      <c r="H36" s="72"/>
      <c r="I36" s="72"/>
      <c r="J36" s="72"/>
      <c r="K36" s="72"/>
      <c r="L36" s="72"/>
      <c r="M36" s="72"/>
      <c r="N36" s="72"/>
      <c r="O36" s="72"/>
      <c r="P36" s="72"/>
    </row>
    <row r="37" spans="1:16" x14ac:dyDescent="0.2">
      <c r="A37" s="72"/>
      <c r="B37" s="72"/>
      <c r="C37" s="72"/>
      <c r="D37" s="72"/>
      <c r="E37" s="72"/>
      <c r="F37" s="72"/>
      <c r="G37" s="72"/>
      <c r="H37" s="72"/>
      <c r="I37" s="72"/>
      <c r="J37" s="72"/>
      <c r="K37" s="72"/>
      <c r="L37" s="72"/>
      <c r="M37" s="72"/>
      <c r="N37" s="72"/>
      <c r="O37" s="72"/>
      <c r="P37" s="72"/>
    </row>
    <row r="38" spans="1:16" x14ac:dyDescent="0.2">
      <c r="A38" s="72"/>
      <c r="B38" s="72"/>
      <c r="C38" s="72"/>
      <c r="D38" s="72"/>
      <c r="E38" s="72"/>
      <c r="F38" s="72"/>
      <c r="G38" s="72"/>
      <c r="H38" s="72"/>
      <c r="I38" s="72"/>
      <c r="J38" s="72"/>
      <c r="K38" s="72"/>
      <c r="L38" s="72"/>
      <c r="M38" s="72"/>
      <c r="N38" s="72"/>
      <c r="O38" s="72"/>
      <c r="P38" s="72"/>
    </row>
    <row r="39" spans="1:16" x14ac:dyDescent="0.2">
      <c r="A39" s="72"/>
      <c r="B39" s="72"/>
      <c r="C39" s="72"/>
      <c r="D39" s="72"/>
      <c r="E39" s="72"/>
      <c r="F39" s="72"/>
      <c r="G39" s="72"/>
      <c r="H39" s="72"/>
      <c r="I39" s="72"/>
      <c r="J39" s="72"/>
      <c r="K39" s="72"/>
      <c r="L39" s="72"/>
      <c r="M39" s="72"/>
      <c r="N39" s="72"/>
      <c r="O39" s="72"/>
      <c r="P39" s="72"/>
    </row>
    <row r="40" spans="1:16" x14ac:dyDescent="0.2">
      <c r="A40" s="72"/>
      <c r="B40" s="72"/>
      <c r="C40" s="72"/>
      <c r="D40" s="72"/>
      <c r="E40" s="72"/>
      <c r="F40" s="72"/>
      <c r="G40" s="72"/>
      <c r="H40" s="72"/>
      <c r="I40" s="72"/>
      <c r="J40" s="72"/>
      <c r="K40" s="72"/>
      <c r="L40" s="72"/>
      <c r="M40" s="72"/>
      <c r="N40" s="72"/>
      <c r="O40" s="72"/>
      <c r="P40" s="72"/>
    </row>
    <row r="41" spans="1:16" x14ac:dyDescent="0.2">
      <c r="A41" s="72"/>
      <c r="B41" s="72"/>
      <c r="C41" s="72"/>
      <c r="D41" s="72"/>
      <c r="E41" s="72"/>
      <c r="F41" s="72"/>
      <c r="G41" s="72"/>
      <c r="H41" s="72"/>
      <c r="I41" s="72"/>
      <c r="J41" s="72"/>
      <c r="K41" s="72"/>
      <c r="L41" s="72"/>
      <c r="M41" s="72"/>
      <c r="N41" s="72"/>
      <c r="O41" s="72"/>
      <c r="P41" s="72"/>
    </row>
    <row r="42" spans="1:16" x14ac:dyDescent="0.2">
      <c r="A42" s="72"/>
      <c r="B42" s="72"/>
      <c r="C42" s="72"/>
      <c r="D42" s="72"/>
      <c r="E42" s="72"/>
      <c r="F42" s="72"/>
      <c r="G42" s="72"/>
      <c r="H42" s="72"/>
      <c r="I42" s="72"/>
      <c r="J42" s="72"/>
      <c r="K42" s="72"/>
      <c r="L42" s="72"/>
      <c r="M42" s="72"/>
      <c r="N42" s="72"/>
      <c r="O42" s="72"/>
      <c r="P42" s="72"/>
    </row>
    <row r="43" spans="1:16" x14ac:dyDescent="0.2">
      <c r="A43" s="72"/>
      <c r="B43" s="72"/>
      <c r="C43" s="72"/>
      <c r="D43" s="72"/>
      <c r="E43" s="72"/>
      <c r="F43" s="72"/>
      <c r="G43" s="72"/>
      <c r="H43" s="72"/>
      <c r="I43" s="72"/>
      <c r="J43" s="72"/>
      <c r="K43" s="72"/>
      <c r="L43" s="72"/>
      <c r="M43" s="72"/>
      <c r="N43" s="72"/>
      <c r="O43" s="72"/>
      <c r="P43" s="72"/>
    </row>
    <row r="44" spans="1:16" x14ac:dyDescent="0.2">
      <c r="A44" s="72"/>
      <c r="B44" s="72"/>
      <c r="C44" s="72"/>
      <c r="D44" s="72"/>
      <c r="E44" s="72"/>
      <c r="F44" s="72"/>
      <c r="G44" s="72"/>
      <c r="H44" s="72"/>
      <c r="I44" s="72"/>
      <c r="J44" s="72"/>
      <c r="K44" s="72"/>
      <c r="L44" s="72"/>
      <c r="M44" s="72"/>
      <c r="N44" s="72"/>
      <c r="O44" s="72"/>
      <c r="P44" s="72"/>
    </row>
    <row r="45" spans="1:16" x14ac:dyDescent="0.2">
      <c r="A45" s="72"/>
      <c r="B45" s="72"/>
      <c r="C45" s="72"/>
      <c r="D45" s="72"/>
      <c r="E45" s="72"/>
      <c r="F45" s="72"/>
      <c r="G45" s="72"/>
      <c r="H45" s="72"/>
      <c r="I45" s="72"/>
      <c r="J45" s="72"/>
      <c r="K45" s="72"/>
      <c r="L45" s="72"/>
      <c r="M45" s="72"/>
      <c r="N45" s="72"/>
      <c r="O45" s="72"/>
      <c r="P45" s="72"/>
    </row>
    <row r="46" spans="1:16" x14ac:dyDescent="0.2">
      <c r="A46" s="72"/>
      <c r="B46" s="72"/>
      <c r="C46" s="72"/>
      <c r="D46" s="72"/>
      <c r="E46" s="72"/>
      <c r="F46" s="72"/>
      <c r="G46" s="72"/>
      <c r="H46" s="72"/>
      <c r="I46" s="72"/>
      <c r="J46" s="72"/>
      <c r="K46" s="72"/>
      <c r="L46" s="72"/>
      <c r="M46" s="72"/>
      <c r="N46" s="72"/>
      <c r="O46" s="72"/>
      <c r="P46" s="72"/>
    </row>
    <row r="47" spans="1:16" x14ac:dyDescent="0.2">
      <c r="A47" s="72"/>
      <c r="B47" s="72"/>
      <c r="C47" s="72"/>
      <c r="D47" s="72"/>
      <c r="E47" s="72"/>
      <c r="F47" s="72"/>
      <c r="G47" s="72"/>
      <c r="H47" s="72"/>
      <c r="I47" s="72"/>
      <c r="J47" s="72"/>
      <c r="K47" s="72"/>
      <c r="L47" s="72"/>
      <c r="M47" s="72"/>
      <c r="N47" s="72"/>
      <c r="O47" s="72"/>
      <c r="P47" s="72"/>
    </row>
    <row r="48" spans="1:16" x14ac:dyDescent="0.2">
      <c r="A48" s="72"/>
      <c r="B48" s="72"/>
      <c r="C48" s="72"/>
      <c r="D48" s="72"/>
      <c r="E48" s="72"/>
      <c r="F48" s="72"/>
      <c r="G48" s="72"/>
      <c r="H48" s="72"/>
      <c r="I48" s="72"/>
      <c r="J48" s="72"/>
      <c r="K48" s="72"/>
      <c r="L48" s="72"/>
      <c r="M48" s="72"/>
      <c r="N48" s="72"/>
      <c r="O48" s="72"/>
      <c r="P48" s="72"/>
    </row>
    <row r="49" spans="1:16" x14ac:dyDescent="0.2">
      <c r="A49" s="72"/>
      <c r="B49" s="72"/>
      <c r="C49" s="72"/>
      <c r="D49" s="72"/>
      <c r="E49" s="72"/>
      <c r="F49" s="72"/>
      <c r="G49" s="72"/>
      <c r="H49" s="72"/>
      <c r="I49" s="72"/>
      <c r="J49" s="72"/>
      <c r="K49" s="72"/>
      <c r="L49" s="72"/>
      <c r="M49" s="72"/>
      <c r="N49" s="72"/>
      <c r="O49" s="72"/>
      <c r="P49" s="72"/>
    </row>
    <row r="50" spans="1:16" x14ac:dyDescent="0.2">
      <c r="A50" s="72"/>
      <c r="B50" s="72"/>
      <c r="C50" s="72"/>
      <c r="D50" s="72"/>
      <c r="E50" s="72"/>
      <c r="F50" s="72"/>
      <c r="G50" s="72"/>
      <c r="H50" s="72"/>
      <c r="I50" s="72"/>
      <c r="J50" s="72"/>
      <c r="K50" s="72"/>
      <c r="L50" s="72"/>
      <c r="M50" s="72"/>
      <c r="N50" s="72"/>
      <c r="O50" s="72"/>
      <c r="P50" s="72"/>
    </row>
    <row r="51" spans="1:16" x14ac:dyDescent="0.2">
      <c r="A51" s="72"/>
      <c r="B51" s="72"/>
      <c r="C51" s="72"/>
      <c r="D51" s="72"/>
      <c r="E51" s="72"/>
      <c r="F51" s="72"/>
      <c r="G51" s="72"/>
      <c r="H51" s="72"/>
      <c r="I51" s="72"/>
      <c r="J51" s="72"/>
      <c r="K51" s="72"/>
      <c r="L51" s="72"/>
      <c r="M51" s="72"/>
      <c r="N51" s="72"/>
      <c r="O51" s="72"/>
      <c r="P51" s="72"/>
    </row>
    <row r="52" spans="1:16" x14ac:dyDescent="0.2">
      <c r="A52" s="72"/>
      <c r="B52" s="72"/>
      <c r="C52" s="72"/>
      <c r="D52" s="72"/>
      <c r="E52" s="72"/>
      <c r="F52" s="72"/>
      <c r="G52" s="72"/>
      <c r="H52" s="72"/>
      <c r="I52" s="72"/>
      <c r="J52" s="72"/>
      <c r="K52" s="72"/>
      <c r="L52" s="72"/>
      <c r="M52" s="72"/>
      <c r="N52" s="72"/>
      <c r="O52" s="72"/>
      <c r="P52" s="72"/>
    </row>
    <row r="53" spans="1:16" x14ac:dyDescent="0.2">
      <c r="A53" s="72"/>
      <c r="B53" s="72"/>
      <c r="C53" s="72"/>
      <c r="D53" s="72"/>
      <c r="E53" s="72"/>
      <c r="F53" s="72"/>
      <c r="G53" s="72"/>
      <c r="H53" s="72"/>
      <c r="I53" s="72"/>
      <c r="J53" s="72"/>
      <c r="K53" s="72"/>
      <c r="L53" s="72"/>
      <c r="M53" s="72"/>
      <c r="N53" s="72"/>
      <c r="O53" s="72"/>
      <c r="P53" s="72"/>
    </row>
    <row r="54" spans="1:16" x14ac:dyDescent="0.2">
      <c r="A54" s="72"/>
      <c r="B54" s="72"/>
      <c r="C54" s="72"/>
      <c r="D54" s="72"/>
      <c r="E54" s="72"/>
      <c r="F54" s="72"/>
      <c r="G54" s="72"/>
      <c r="H54" s="72"/>
      <c r="I54" s="72"/>
      <c r="J54" s="72"/>
      <c r="K54" s="72"/>
      <c r="L54" s="72"/>
      <c r="M54" s="72"/>
      <c r="N54" s="72"/>
      <c r="O54" s="72"/>
      <c r="P54" s="72"/>
    </row>
    <row r="55" spans="1:16" x14ac:dyDescent="0.2">
      <c r="A55" s="72"/>
      <c r="B55" s="72"/>
      <c r="C55" s="72"/>
      <c r="D55" s="72"/>
      <c r="E55" s="72"/>
      <c r="F55" s="72"/>
      <c r="G55" s="72"/>
      <c r="H55" s="72"/>
      <c r="I55" s="72"/>
      <c r="J55" s="72"/>
      <c r="K55" s="72"/>
      <c r="L55" s="72"/>
      <c r="M55" s="72"/>
      <c r="N55" s="72"/>
      <c r="O55" s="72"/>
      <c r="P55" s="72"/>
    </row>
    <row r="56" spans="1:16" x14ac:dyDescent="0.2">
      <c r="A56" s="72"/>
      <c r="B56" s="72"/>
      <c r="C56" s="72"/>
      <c r="D56" s="72"/>
      <c r="E56" s="72"/>
      <c r="F56" s="72"/>
      <c r="G56" s="72"/>
      <c r="H56" s="72"/>
      <c r="I56" s="72"/>
      <c r="J56" s="72"/>
      <c r="K56" s="72"/>
      <c r="L56" s="72"/>
      <c r="M56" s="72"/>
      <c r="N56" s="72"/>
      <c r="O56" s="72"/>
      <c r="P56" s="72"/>
    </row>
    <row r="57" spans="1:16" x14ac:dyDescent="0.2">
      <c r="A57" s="72"/>
      <c r="B57" s="72"/>
      <c r="C57" s="72"/>
      <c r="D57" s="72"/>
      <c r="E57" s="72"/>
      <c r="F57" s="72"/>
      <c r="G57" s="72"/>
      <c r="H57" s="72"/>
      <c r="I57" s="72"/>
      <c r="J57" s="72"/>
      <c r="K57" s="72"/>
      <c r="L57" s="72"/>
      <c r="M57" s="72"/>
      <c r="N57" s="72"/>
      <c r="O57" s="72"/>
      <c r="P57" s="72"/>
    </row>
    <row r="58" spans="1:16" x14ac:dyDescent="0.2">
      <c r="A58" s="72"/>
      <c r="B58" s="72"/>
      <c r="C58" s="72"/>
      <c r="D58" s="72"/>
      <c r="E58" s="72"/>
      <c r="F58" s="72"/>
      <c r="G58" s="72"/>
      <c r="H58" s="72"/>
      <c r="I58" s="72"/>
      <c r="J58" s="72"/>
      <c r="K58" s="72"/>
      <c r="L58" s="72"/>
      <c r="M58" s="72"/>
      <c r="N58" s="72"/>
      <c r="O58" s="72"/>
      <c r="P58" s="72"/>
    </row>
    <row r="59" spans="1:16" x14ac:dyDescent="0.2">
      <c r="A59" s="72"/>
      <c r="B59" s="72"/>
      <c r="C59" s="72"/>
      <c r="D59" s="72"/>
      <c r="E59" s="72"/>
      <c r="F59" s="72"/>
      <c r="G59" s="72"/>
      <c r="H59" s="72"/>
      <c r="I59" s="72"/>
      <c r="J59" s="72"/>
      <c r="K59" s="72"/>
      <c r="L59" s="72"/>
      <c r="M59" s="72"/>
      <c r="N59" s="72"/>
      <c r="O59" s="72"/>
      <c r="P59" s="72"/>
    </row>
    <row r="60" spans="1:16" x14ac:dyDescent="0.2">
      <c r="A60" s="72"/>
      <c r="B60" s="72"/>
      <c r="C60" s="72"/>
      <c r="D60" s="72"/>
      <c r="E60" s="72"/>
      <c r="F60" s="72"/>
      <c r="G60" s="72"/>
      <c r="H60" s="72"/>
      <c r="I60" s="72"/>
      <c r="J60" s="72"/>
      <c r="K60" s="72"/>
      <c r="L60" s="72"/>
      <c r="M60" s="72"/>
      <c r="N60" s="72"/>
      <c r="O60" s="72"/>
      <c r="P60" s="72"/>
    </row>
    <row r="61" spans="1:16" x14ac:dyDescent="0.2">
      <c r="A61" s="72"/>
      <c r="B61" s="72"/>
      <c r="C61" s="72"/>
      <c r="D61" s="72"/>
      <c r="E61" s="72"/>
      <c r="F61" s="72"/>
      <c r="G61" s="72"/>
      <c r="H61" s="72"/>
      <c r="I61" s="72"/>
      <c r="J61" s="72"/>
      <c r="K61" s="72"/>
      <c r="L61" s="72"/>
      <c r="M61" s="72"/>
      <c r="N61" s="72"/>
      <c r="O61" s="72"/>
      <c r="P61" s="72"/>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TSXV:TOI/explorer/revenue_proj" xr:uid="{23C1C5BF-964C-5D44-818D-6DB232A26346}"/>
  </hyperlinks>
  <pageMargins left="0.7" right="0.7" top="0.75" bottom="0.75" header="0.3" footer="0.3"/>
  <ignoredErrors>
    <ignoredError sqref="F12:J12" formula="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2023-12-03T15:48:58Z</dcterms:modified>
</cp:coreProperties>
</file>