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EE505D9F-CE80-7242-A1CD-71B4D8E44F7A}" xr6:coauthVersionLast="47" xr6:coauthVersionMax="47" xr10:uidLastSave="{00000000-0000-0000-0000-000000000000}"/>
  <bookViews>
    <workbookView xWindow="40960" yWindow="554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<sst xmlns="http://schemas.openxmlformats.org/spreadsheetml/2006/main" count="638" uniqueCount="167">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</sst>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11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9524</xdr:rowOff>
    </xdr:from>
    <xdr:to>
      <xdr:col>31</xdr:col>
      <xdr:colOff>15875</xdr:colOff>
      <xdr:row>131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Holdings"/>
      <sheetName val="Treasuries"/>
      <sheetName val="All Stars"/>
      <sheetName val="ROIC Port"/>
      <sheetName val="To Be Modeled"/>
      <sheetName val="7 Powers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C8">
            <v>3.7229999999999999E-2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972.4</v>
    <v>0.72970000000000002</v>
    <v>-4.2</v>
    <v>-2.2040000000000002E-3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1908.2</v>
    <v>Textiles &amp; Apparel</v>
    <v>Stock</v>
    <v>45100.666666666664</v>
    <v>0</v>
    <v>1880.4</v>
    <v>201173100000</v>
    <v>Hermes International SCA</v>
    <v>Hermes International SCA</v>
    <v>1895.2</v>
    <v>59.179400000000001</v>
    <v>1905.6</v>
    <v>1901.4</v>
    <v>105569400</v>
    <v>RMS</v>
    <v>Hermes International SCA (XPAR:RMS)</v>
    <v>55521</v>
    <v>67550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T87" activePane="bottomRight" state="frozen"/>
      <selection pane="topRight"/>
      <selection pane="bottomLeft"/>
      <selection pane="bottomRight" activeCell="Y99" sqref="Y99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7">
        <v>2023</v>
      </c>
      <c r="Y1" s="27">
        <v>2024</v>
      </c>
      <c r="Z1" s="27">
        <v>2025</v>
      </c>
      <c r="AA1" s="27">
        <v>2026</v>
      </c>
      <c r="AB1" s="27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8">
        <v>13698000000</v>
      </c>
      <c r="Y3" s="28">
        <v>15146000000</v>
      </c>
      <c r="Z3" s="28">
        <v>16451000000</v>
      </c>
      <c r="AA3" s="28">
        <v>17158000000</v>
      </c>
      <c r="AB3" s="28">
        <v>18960000000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0.18065850715393905</v>
      </c>
      <c r="Y4" s="16">
        <f t="shared" si="0"/>
        <v>0.10570886260767987</v>
      </c>
      <c r="Z4" s="16">
        <f t="shared" si="0"/>
        <v>8.6161362736035807E-2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9">
        <f>(W35+V35+U35+T35+S35)/5</f>
        <v>-4.8227323990037534E-2</v>
      </c>
      <c r="AD16" s="30">
        <f>AE101/W3</f>
        <v>17.339519048439925</v>
      </c>
      <c r="AE16" s="30">
        <f>AE101/W28</f>
        <v>59.748470448470449</v>
      </c>
      <c r="AF16" s="31">
        <f>AE101/W107</f>
        <v>48.081524856596559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63">
        <v>6258000000</v>
      </c>
      <c r="Y19" s="63">
        <v>7097000002</v>
      </c>
      <c r="Z19" s="63">
        <v>7856000003</v>
      </c>
      <c r="AA19" s="63">
        <v>7706000004</v>
      </c>
      <c r="AB19" s="63">
        <v>8341000005</v>
      </c>
      <c r="AC19" s="32">
        <f>W40-W56-W61</f>
        <v>7291000000</v>
      </c>
      <c r="AD19" s="68">
        <f>AE101/X3</f>
        <v>14.686311870346035</v>
      </c>
      <c r="AE19" s="68">
        <f>AE101/X28</f>
        <v>50.584133756453575</v>
      </c>
      <c r="AF19" s="69">
        <f>AE101/X106</f>
        <v>52.608028242677825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0.17986425339366519</v>
      </c>
      <c r="Y20" s="16">
        <f t="shared" ref="Y20" si="5">(Y19/X19)-1</f>
        <v>0.13406839277724503</v>
      </c>
      <c r="Z20" s="16">
        <f t="shared" ref="Z20" si="6">(Z19/Y19)-1</f>
        <v>0.10694659726449296</v>
      </c>
      <c r="AA20" s="16">
        <f t="shared" ref="AA20" si="7">(AA19/Z19)-1</f>
        <v>-1.9093686219796235E-2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62">
        <v>0.4572</v>
      </c>
      <c r="X21" s="64">
        <f>X19/X3</f>
        <v>0.45685501533070522</v>
      </c>
      <c r="Y21" s="64">
        <f t="shared" ref="Y21:AB21" si="9">Y19/Y3</f>
        <v>0.46857256054403801</v>
      </c>
      <c r="Z21" s="64">
        <f t="shared" si="9"/>
        <v>0.47753935949182419</v>
      </c>
      <c r="AA21" s="64">
        <f t="shared" si="9"/>
        <v>0.44911994428255042</v>
      </c>
      <c r="AB21" s="64">
        <f t="shared" si="9"/>
        <v>0.43992616060126583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61">
        <v>4697000000</v>
      </c>
      <c r="AE22" s="70">
        <f>(-1*W98)/AE101</f>
        <v>4.2351586767813395E-3</v>
      </c>
      <c r="AF22" s="71">
        <f>W107/AE101</f>
        <v>2.0798009276588172E-2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65">
        <v>3977000001</v>
      </c>
      <c r="Y28" s="65">
        <v>4372000002</v>
      </c>
      <c r="Z28" s="65">
        <v>4811000003</v>
      </c>
      <c r="AA28" s="65">
        <v>4746000004</v>
      </c>
      <c r="AB28" s="65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0.18117018146718156</v>
      </c>
      <c r="Y29" s="16">
        <f t="shared" ref="Y29" si="12">(Y28/X28)-1</f>
        <v>9.9321096530218478E-2</v>
      </c>
      <c r="Z29" s="16">
        <f t="shared" ref="Z29" si="13">(Z28/Y28)-1</f>
        <v>0.10041171107026003</v>
      </c>
      <c r="AA29" s="16">
        <f t="shared" ref="AA29" si="14">(AA28/Z28)-1</f>
        <v>-1.3510704418929098E-2</v>
      </c>
      <c r="AB29" s="16">
        <f t="shared" ref="AB29" si="15">(AB28/AA28)-1</f>
        <v>8.3227981598627876E-2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66">
        <f>X28/X3</f>
        <v>0.29033435545335085</v>
      </c>
      <c r="Y30" s="66">
        <f t="shared" ref="Y30:AB30" si="16">Y28/Y3</f>
        <v>0.28865707130595536</v>
      </c>
      <c r="Z30" s="66">
        <f t="shared" si="16"/>
        <v>0.29244422849674789</v>
      </c>
      <c r="AA30" s="66">
        <f t="shared" si="16"/>
        <v>0.27660566522904767</v>
      </c>
      <c r="AB30" s="66">
        <f t="shared" si="16"/>
        <v>0.27114978929324896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67">
        <v>38.04</v>
      </c>
      <c r="Y31" s="67">
        <v>41.83</v>
      </c>
      <c r="Z31" s="67">
        <v>46.02</v>
      </c>
      <c r="AA31" s="67">
        <v>45.4</v>
      </c>
      <c r="AB31" s="67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74" t="s">
        <v>124</v>
      </c>
      <c r="AE83" s="75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76" t="s">
        <v>125</v>
      </c>
      <c r="AE84" s="77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23" t="s">
        <v>126</v>
      </c>
      <c r="AE85" s="24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23" t="s">
        <v>127</v>
      </c>
      <c r="AE86" s="24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23" t="s">
        <v>128</v>
      </c>
      <c r="AE87" s="24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33" t="s">
        <v>129</v>
      </c>
      <c r="AE88" s="34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23" t="s">
        <v>105</v>
      </c>
      <c r="AE89" s="24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23" t="s">
        <v>19</v>
      </c>
      <c r="AE90" s="24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33" t="s">
        <v>130</v>
      </c>
      <c r="AE91" s="34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35" t="s">
        <v>131</v>
      </c>
      <c r="AE92" s="36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76" t="s">
        <v>132</v>
      </c>
      <c r="AE93" s="77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23" t="s">
        <v>133</v>
      </c>
      <c r="AE94" s="37">
        <f>[1]Treasuries!$C$8</f>
        <v>3.7229999999999999E-2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23" t="s">
        <v>134</v>
      </c>
      <c r="AE95" s="38" cm="1">
        <f t="array" ref="AE95">_FV(A1,"Beta")</f>
        <v>0.72970000000000002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23" t="s">
        <v>135</v>
      </c>
      <c r="AE96" s="37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35" t="s">
        <v>136</v>
      </c>
      <c r="AE97" s="36">
        <f>(AE94)+((AE95)*(AE96-AE94))</f>
        <v>7.1358068999999996E-2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76" t="s">
        <v>137</v>
      </c>
      <c r="AE98" s="77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23" t="s">
        <v>138</v>
      </c>
      <c r="AE99" s="24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33" t="s">
        <v>139</v>
      </c>
      <c r="AE100" s="34">
        <f>AE99/AE103</f>
        <v>9.5220698833275649E-3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23" t="s">
        <v>140</v>
      </c>
      <c r="AE101" s="39" cm="1">
        <f t="array" ref="AE101">_FV(A1,"Market cap",TRUE)</f>
        <v>201173100000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33" t="s">
        <v>141</v>
      </c>
      <c r="AE102" s="34">
        <f>AE101/AE103</f>
        <v>0.9904779301166724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35" t="s">
        <v>142</v>
      </c>
      <c r="AE103" s="40">
        <f>AE99+AE101</f>
        <v>203107100000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76" t="s">
        <v>143</v>
      </c>
      <c r="AE104" s="77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41">
        <f>W105*(1+$AE$106)</f>
        <v>4476644992.0291462</v>
      </c>
      <c r="Y105" s="41">
        <f t="shared" ref="Y105:AB105" si="21">X105*(1+$AE$106)</f>
        <v>4942689466.4979534</v>
      </c>
      <c r="Z105" s="41">
        <f t="shared" si="21"/>
        <v>5457251849.4829893</v>
      </c>
      <c r="AA105" s="41">
        <f t="shared" si="21"/>
        <v>6025383134.131362</v>
      </c>
      <c r="AB105" s="41">
        <f t="shared" si="21"/>
        <v>6652660151.0088215</v>
      </c>
      <c r="AC105" s="42" t="s">
        <v>160</v>
      </c>
      <c r="AD105" s="25" t="s">
        <v>106</v>
      </c>
      <c r="AE105" s="26">
        <f>(AE100*AE92)+(AE102*AE97)</f>
        <v>7.0459281144891084E-2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59">
        <v>3824000000</v>
      </c>
      <c r="Y106" s="59">
        <v>4449000000</v>
      </c>
      <c r="Z106" s="59">
        <v>4970000000</v>
      </c>
      <c r="AA106" s="59">
        <v>4708000000</v>
      </c>
      <c r="AB106" s="59">
        <v>5062000000</v>
      </c>
      <c r="AC106" s="42" t="s">
        <v>161</v>
      </c>
      <c r="AD106" s="43" t="s">
        <v>144</v>
      </c>
      <c r="AE106" s="44">
        <f>(SUM(X4:AB4)/5)</f>
        <v>0.10410574778625929</v>
      </c>
    </row>
    <row r="107" spans="1:31" ht="19" x14ac:dyDescent="0.25">
      <c r="A107" s="58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42"/>
      <c r="Y107" s="42"/>
      <c r="Z107" s="42"/>
      <c r="AA107" s="42"/>
      <c r="AB107" s="60">
        <f>AB106*(1+AE107)/(AE108-AE107)</f>
        <v>114136208697.68445</v>
      </c>
      <c r="AC107" s="45" t="s">
        <v>145</v>
      </c>
      <c r="AD107" s="46" t="s">
        <v>146</v>
      </c>
      <c r="AE107" s="47">
        <v>2.5000000000000001E-2</v>
      </c>
    </row>
    <row r="108" spans="1:31" ht="19" x14ac:dyDescent="0.25">
      <c r="X108" s="60">
        <f t="shared" ref="X108:AA108" si="23">X107+X106</f>
        <v>3824000000</v>
      </c>
      <c r="Y108" s="60">
        <f t="shared" si="23"/>
        <v>4449000000</v>
      </c>
      <c r="Z108" s="60">
        <f t="shared" si="23"/>
        <v>4970000000</v>
      </c>
      <c r="AA108" s="60">
        <f t="shared" si="23"/>
        <v>4708000000</v>
      </c>
      <c r="AB108" s="60">
        <f>AB107+AB106</f>
        <v>119198208697.68445</v>
      </c>
      <c r="AC108" s="45" t="s">
        <v>142</v>
      </c>
      <c r="AD108" s="48" t="s">
        <v>147</v>
      </c>
      <c r="AE108" s="49">
        <f>AE105</f>
        <v>7.0459281144891084E-2</v>
      </c>
    </row>
    <row r="109" spans="1:31" ht="19" x14ac:dyDescent="0.25">
      <c r="X109" s="72" t="s">
        <v>148</v>
      </c>
      <c r="Y109" s="73"/>
    </row>
    <row r="110" spans="1:31" ht="20" x14ac:dyDescent="0.25">
      <c r="X110" s="50" t="s">
        <v>149</v>
      </c>
      <c r="Y110" s="39">
        <f>NPV(AE108,X108,Y108,Z108,AA108,AB108)</f>
        <v>99896738655.693924</v>
      </c>
    </row>
    <row r="111" spans="1:31" ht="20" x14ac:dyDescent="0.25">
      <c r="X111" s="50" t="s">
        <v>150</v>
      </c>
      <c r="Y111" s="39">
        <f>W40</f>
        <v>9225000000</v>
      </c>
    </row>
    <row r="112" spans="1:31" ht="20" x14ac:dyDescent="0.25">
      <c r="X112" s="50" t="s">
        <v>138</v>
      </c>
      <c r="Y112" s="39">
        <f>AE99</f>
        <v>1934000000</v>
      </c>
    </row>
    <row r="113" spans="24:25" ht="20" x14ac:dyDescent="0.25">
      <c r="X113" s="50" t="s">
        <v>151</v>
      </c>
      <c r="Y113" s="39">
        <f>Y110+Y111-Y112</f>
        <v>107187738655.69392</v>
      </c>
    </row>
    <row r="114" spans="24:25" ht="20" x14ac:dyDescent="0.25">
      <c r="X114" s="50" t="s">
        <v>152</v>
      </c>
      <c r="Y114" s="51">
        <f>W34*(1+(AC16*5))</f>
        <v>60608393.517080538</v>
      </c>
    </row>
    <row r="115" spans="24:25" ht="20" x14ac:dyDescent="0.25">
      <c r="X115" s="52" t="s">
        <v>153</v>
      </c>
      <c r="Y115" s="53">
        <f>Y113/Y114</f>
        <v>1768.5296117523142</v>
      </c>
    </row>
    <row r="116" spans="24:25" ht="20" x14ac:dyDescent="0.25">
      <c r="X116" s="50" t="s">
        <v>154</v>
      </c>
      <c r="Y116" s="54" cm="1">
        <f t="array" ref="Y116">_FV(A1,"Price")</f>
        <v>1901.4</v>
      </c>
    </row>
    <row r="117" spans="24:25" ht="20" x14ac:dyDescent="0.25">
      <c r="X117" s="55" t="s">
        <v>155</v>
      </c>
      <c r="Y117" s="56">
        <f>Y115/Y116-1</f>
        <v>-6.9880292546379508E-2</v>
      </c>
    </row>
    <row r="118" spans="24:25" ht="20" x14ac:dyDescent="0.25">
      <c r="X118" s="55" t="s">
        <v>156</v>
      </c>
      <c r="Y118" s="57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2023-06-23T18:36:26Z</dcterms:modified>
</cp:coreProperties>
</file>