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B82A3585-5168-B642-9986-0925ADC72BC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16" i="1" l="1" a="1"/>
  <c r="P116" i="1" s="1"/>
  <c r="P106" i="1"/>
  <c r="Q106" i="1"/>
  <c r="R106" i="1"/>
  <c r="S106" i="1" s="1"/>
  <c r="O106" i="1"/>
  <c r="V101" i="1" a="1"/>
  <c r="V101" i="1" s="1"/>
  <c r="V95" i="1" a="1"/>
  <c r="V95" i="1" s="1"/>
  <c r="V97" i="1" s="1"/>
  <c r="P111" i="1"/>
  <c r="O108" i="1"/>
  <c r="V90" i="1"/>
  <c r="V89" i="1"/>
  <c r="V91" i="1" s="1"/>
  <c r="V87" i="1"/>
  <c r="V86" i="1"/>
  <c r="V99" i="1" s="1"/>
  <c r="V85" i="1"/>
  <c r="V88" i="1" s="1"/>
  <c r="T19" i="1"/>
  <c r="T16" i="1"/>
  <c r="P114" i="1" s="1"/>
  <c r="W13" i="1"/>
  <c r="V13" i="1"/>
  <c r="U13" i="1"/>
  <c r="T13" i="1"/>
  <c r="W10" i="1"/>
  <c r="V10" i="1"/>
  <c r="U10" i="1"/>
  <c r="W7" i="1"/>
  <c r="V7" i="1"/>
  <c r="U7" i="1"/>
  <c r="T7" i="1"/>
  <c r="W4" i="1"/>
  <c r="V4" i="1"/>
  <c r="U4" i="1"/>
  <c r="T4" i="1"/>
  <c r="S4" i="1"/>
  <c r="R4" i="1"/>
  <c r="Q4" i="1"/>
  <c r="P4" i="1"/>
  <c r="O4" i="1"/>
  <c r="N105" i="1"/>
  <c r="M105" i="1"/>
  <c r="L105" i="1"/>
  <c r="K105" i="1"/>
  <c r="J105" i="1"/>
  <c r="I105" i="1"/>
  <c r="H105" i="1"/>
  <c r="G105" i="1"/>
  <c r="F105" i="1"/>
  <c r="E105" i="1"/>
  <c r="D105" i="1"/>
  <c r="C105" i="1"/>
  <c r="N89" i="1"/>
  <c r="M89" i="1"/>
  <c r="L89" i="1"/>
  <c r="K89" i="1"/>
  <c r="J89" i="1"/>
  <c r="I89" i="1"/>
  <c r="H89" i="1"/>
  <c r="G89" i="1"/>
  <c r="F89" i="1"/>
  <c r="E89" i="1"/>
  <c r="D89" i="1"/>
  <c r="C89" i="1"/>
  <c r="B89" i="1"/>
  <c r="N80" i="1"/>
  <c r="M80" i="1"/>
  <c r="L80" i="1"/>
  <c r="K80" i="1"/>
  <c r="J80" i="1"/>
  <c r="I80" i="1"/>
  <c r="H80" i="1"/>
  <c r="G80" i="1"/>
  <c r="F80" i="1"/>
  <c r="E80" i="1"/>
  <c r="D80" i="1"/>
  <c r="C80" i="1"/>
  <c r="B80" i="1"/>
  <c r="N35" i="1"/>
  <c r="M35" i="1"/>
  <c r="L35" i="1"/>
  <c r="K35" i="1"/>
  <c r="J35" i="1"/>
  <c r="I35" i="1"/>
  <c r="H35" i="1"/>
  <c r="G35" i="1"/>
  <c r="F35" i="1"/>
  <c r="E35" i="1"/>
  <c r="D35" i="1"/>
  <c r="C35" i="1"/>
  <c r="N29" i="1"/>
  <c r="M29" i="1"/>
  <c r="L29" i="1"/>
  <c r="K29" i="1"/>
  <c r="J29" i="1"/>
  <c r="I29" i="1"/>
  <c r="H29" i="1"/>
  <c r="G29" i="1"/>
  <c r="F29" i="1"/>
  <c r="E29" i="1"/>
  <c r="D29" i="1"/>
  <c r="C29" i="1"/>
  <c r="N20" i="1"/>
  <c r="M20" i="1"/>
  <c r="L20" i="1"/>
  <c r="K20" i="1"/>
  <c r="J20" i="1"/>
  <c r="I20" i="1"/>
  <c r="H20" i="1"/>
  <c r="G20" i="1"/>
  <c r="F20" i="1"/>
  <c r="E20" i="1"/>
  <c r="D20" i="1"/>
  <c r="C20" i="1"/>
  <c r="N13" i="1"/>
  <c r="M13" i="1"/>
  <c r="L13" i="1"/>
  <c r="K13" i="1"/>
  <c r="J13" i="1"/>
  <c r="I13" i="1"/>
  <c r="H13" i="1"/>
  <c r="G13" i="1"/>
  <c r="F13" i="1"/>
  <c r="E13" i="1"/>
  <c r="D13" i="1"/>
  <c r="C13" i="1"/>
  <c r="B13" i="1"/>
  <c r="N9" i="1"/>
  <c r="T10" i="1" s="1"/>
  <c r="M9" i="1"/>
  <c r="L9" i="1"/>
  <c r="K9" i="1"/>
  <c r="J9" i="1"/>
  <c r="I9" i="1"/>
  <c r="H9" i="1"/>
  <c r="G9" i="1"/>
  <c r="F9" i="1"/>
  <c r="E9" i="1"/>
  <c r="D9" i="1"/>
  <c r="C9" i="1"/>
  <c r="B9" i="1"/>
  <c r="N4" i="1"/>
  <c r="M4" i="1"/>
  <c r="L4" i="1"/>
  <c r="K4" i="1"/>
  <c r="J4" i="1"/>
  <c r="I4" i="1"/>
  <c r="H4" i="1"/>
  <c r="G4" i="1"/>
  <c r="F4" i="1"/>
  <c r="E4" i="1"/>
  <c r="D4" i="1"/>
  <c r="C4" i="1"/>
  <c r="V106" i="1" l="1"/>
  <c r="W16" i="1"/>
  <c r="V16" i="1"/>
  <c r="U16" i="1"/>
  <c r="V92" i="1"/>
  <c r="V103" i="1"/>
  <c r="V102" i="1" s="1"/>
  <c r="P112" i="1"/>
  <c r="P108" i="1"/>
  <c r="V100" i="1" l="1"/>
  <c r="V105" i="1" s="1"/>
  <c r="V108" i="1" s="1"/>
  <c r="Q108" i="1"/>
  <c r="S107" i="1" l="1"/>
  <c r="S108" i="1" s="1"/>
  <c r="R108" i="1"/>
  <c r="P110" i="1" l="1"/>
  <c r="P113" i="1" s="1"/>
  <c r="P115" i="1" s="1"/>
  <c r="P117" i="1" l="1"/>
  <c r="P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<sst xmlns="http://schemas.openxmlformats.org/spreadsheetml/2006/main" count="444" uniqueCount="160">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</sst>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MONC.MI</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031404958677687E-2"/>
          <c:y val="0.13193722198583488"/>
          <c:w val="0.85014214876033056"/>
          <c:h val="0.7180186371570970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1'!$B$3:$N$3</c:f>
              <c:numCache>
                <c:formatCode>#,###,,;\(#,###,,\);\ \-\ \-</c:formatCode>
                <c:ptCount val="13"/>
                <c:pt idx="0">
                  <c:v>428733000</c:v>
                </c:pt>
                <c:pt idx="1">
                  <c:v>513364000</c:v>
                </c:pt>
                <c:pt idx="2">
                  <c:v>623786000</c:v>
                </c:pt>
                <c:pt idx="3">
                  <c:v>580577000</c:v>
                </c:pt>
                <c:pt idx="4">
                  <c:v>694189000</c:v>
                </c:pt>
                <c:pt idx="5">
                  <c:v>880393000</c:v>
                </c:pt>
                <c:pt idx="6">
                  <c:v>1040311000</c:v>
                </c:pt>
                <c:pt idx="7">
                  <c:v>1193704000</c:v>
                </c:pt>
                <c:pt idx="8">
                  <c:v>1420074000</c:v>
                </c:pt>
                <c:pt idx="9">
                  <c:v>1627704000</c:v>
                </c:pt>
                <c:pt idx="10">
                  <c:v>1440409000</c:v>
                </c:pt>
                <c:pt idx="11">
                  <c:v>2046103000</c:v>
                </c:pt>
                <c:pt idx="12">
                  <c:v>2602890000</c:v>
                </c:pt>
              </c:numCache>
            </c:numRef>
          </c:val>
          <c:extLst>
            <c:ext xmlns:c16="http://schemas.microsoft.com/office/drawing/2014/chart" uri="{C3380CC4-5D6E-409C-BE32-E72D297353CC}">
              <c16:uniqueId val="{00000000-E2DA-AF4E-BBB2-D07B9F1ED9A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1'!$B$19:$N$19</c:f>
              <c:numCache>
                <c:formatCode>#,###,,;\(#,###,,\);\ \-\ \-</c:formatCode>
                <c:ptCount val="13"/>
                <c:pt idx="0">
                  <c:v>96921000</c:v>
                </c:pt>
                <c:pt idx="1">
                  <c:v>116518000</c:v>
                </c:pt>
                <c:pt idx="2">
                  <c:v>105490000</c:v>
                </c:pt>
                <c:pt idx="3">
                  <c:v>164387000</c:v>
                </c:pt>
                <c:pt idx="4">
                  <c:v>234155000</c:v>
                </c:pt>
                <c:pt idx="5">
                  <c:v>292858000</c:v>
                </c:pt>
                <c:pt idx="6">
                  <c:v>338236000</c:v>
                </c:pt>
                <c:pt idx="7">
                  <c:v>384787000</c:v>
                </c:pt>
                <c:pt idx="8">
                  <c:v>469885000</c:v>
                </c:pt>
                <c:pt idx="9">
                  <c:v>663596000</c:v>
                </c:pt>
                <c:pt idx="10">
                  <c:v>569518000</c:v>
                </c:pt>
                <c:pt idx="11">
                  <c:v>827448000</c:v>
                </c:pt>
                <c:pt idx="12">
                  <c:v>1038521000</c:v>
                </c:pt>
              </c:numCache>
            </c:numRef>
          </c:val>
          <c:extLst>
            <c:ext xmlns:c16="http://schemas.microsoft.com/office/drawing/2014/chart" uri="{C3380CC4-5D6E-409C-BE32-E72D297353CC}">
              <c16:uniqueId val="{00000001-E2DA-AF4E-BBB2-D07B9F1ED9A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1'!$B$106:$N$106</c:f>
              <c:numCache>
                <c:formatCode>#,###,,;\(#,###,,\);\ \-\ \-</c:formatCode>
                <c:ptCount val="13"/>
                <c:pt idx="0">
                  <c:v>37192000</c:v>
                </c:pt>
                <c:pt idx="1">
                  <c:v>20379000</c:v>
                </c:pt>
                <c:pt idx="2">
                  <c:v>59568000</c:v>
                </c:pt>
                <c:pt idx="3">
                  <c:v>56068000</c:v>
                </c:pt>
                <c:pt idx="4">
                  <c:v>91479000</c:v>
                </c:pt>
                <c:pt idx="5">
                  <c:v>114230000</c:v>
                </c:pt>
                <c:pt idx="6">
                  <c:v>214150000</c:v>
                </c:pt>
                <c:pt idx="7">
                  <c:v>240633000</c:v>
                </c:pt>
                <c:pt idx="8">
                  <c:v>373944000</c:v>
                </c:pt>
                <c:pt idx="9">
                  <c:v>464895000</c:v>
                </c:pt>
                <c:pt idx="10">
                  <c:v>313889000</c:v>
                </c:pt>
                <c:pt idx="11">
                  <c:v>733486000</c:v>
                </c:pt>
                <c:pt idx="12">
                  <c:v>492724000</c:v>
                </c:pt>
              </c:numCache>
            </c:numRef>
          </c:val>
          <c:extLst>
            <c:ext xmlns:c16="http://schemas.microsoft.com/office/drawing/2014/chart" uri="{C3380CC4-5D6E-409C-BE32-E72D297353CC}">
              <c16:uniqueId val="{00000002-E2DA-AF4E-BBB2-D07B9F1ED9A8}"/>
            </c:ext>
          </c:extLst>
        </c:ser>
        <c:dLbls>
          <c:showLegendKey val="0"/>
          <c:showVal val="0"/>
          <c:showCatName val="0"/>
          <c:showSerName val="0"/>
          <c:showPercent val="0"/>
          <c:showBubbleSize val="0"/>
        </c:dLbls>
        <c:gapWidth val="100"/>
        <c:overlap val="-24"/>
        <c:axId val="540832240"/>
        <c:axId val="118116624"/>
      </c:barChart>
      <c:catAx>
        <c:axId val="5408322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8116624"/>
        <c:crosses val="autoZero"/>
        <c:auto val="1"/>
        <c:lblAlgn val="ctr"/>
        <c:lblOffset val="100"/>
        <c:noMultiLvlLbl val="0"/>
      </c:catAx>
      <c:valAx>
        <c:axId val="11811662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40832240"/>
        <c:crosses val="autoZero"/>
        <c:crossBetween val="between"/>
      </c:valAx>
      <c:spPr>
        <a:noFill/>
        <a:ln>
          <a:noFill/>
        </a:ln>
        <a:effectLst/>
      </c:spPr>
    </c:plotArea>
    <c:legend>
      <c:legendPos val="b"/>
      <c:layout>
        <c:manualLayout>
          <c:xMode val="edge"/>
          <c:yMode val="edge"/>
          <c:x val="0.34979537970976771"/>
          <c:y val="0.91301838110008415"/>
          <c:w val="0.30305376456042166"/>
          <c:h val="5.48638503767199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31749</xdr:colOff>
      <xdr:row>108</xdr:row>
      <xdr:rowOff>49212</xdr:rowOff>
    </xdr:from>
    <xdr:to>
      <xdr:col>22</xdr:col>
      <xdr:colOff>15874</xdr:colOff>
      <xdr:row>128</xdr:row>
      <xdr:rowOff>206374</xdr:rowOff>
    </xdr:to>
    <xdr:graphicFrame macro="">
      <xdr:nvGraphicFramePr>
        <xdr:cNvPr id="2" name="Chart 1">
          <a:extLst>
            <a:ext uri="{FF2B5EF4-FFF2-40B4-BE49-F238E27FC236}">
              <a16:creationId xmlns:a16="http://schemas.microsoft.com/office/drawing/2014/main" id="{A30CCBC5-4C89-FA84-FCA5-7467D6D47F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https://www.bing.com/financeapi/forcetrigger?t=ajfy27&amp;q=XMIL%3aMONC&amp;form=skydnc</v>
    <v>Learn more on Bing</v>
  </rv>
  <rv s="1">
    <v>0</v>
    <v>Moncler SpA (XMIL:MONC)</v>
    <v>2</v>
    <v>3</v>
    <v>Finance</v>
    <v>4</v>
    <v>en-US</v>
    <v>ajfy27</v>
    <v>268435456</v>
    <v>1</v>
    <v>Powered by Refinitiv</v>
    <v>69.14</v>
    <v>35</v>
    <v>0.78029999999999999</v>
    <v>-1.08</v>
    <v>-1.7003000000000001E-2</v>
    <v>EUR</v>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v>6310</v>
    <v>Borsa Italiana</v>
    <v>XMIL</v>
    <v>XMIL</v>
    <v>Via Venezia, 1, TREBASELEGHE, PADOVA, 35010 IT</v>
    <v>63.38</v>
    <v>Textiles &amp; Apparel</v>
    <v>Stock</v>
    <v>45100.666666666664</v>
    <v>0</v>
    <v>62.1</v>
    <v>17444350000</v>
    <v>Moncler SpA</v>
    <v>Moncler SpA</v>
    <v>63.38</v>
    <v>28.155999999999999</v>
    <v>63.52</v>
    <v>62.44</v>
    <v>274627700</v>
    <v>MONC</v>
    <v>Moncler SpA (XMIL:MONC)</v>
    <v>488817</v>
    <v>585410</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Borsa Italia</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drawing" Target="../drawings/drawing1.xml"/><Relationship Id="rId1" Type="http://schemas.openxmlformats.org/officeDocument/2006/relationships/hyperlink" Target="https://roic.ai/company/MONC.M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finbox.com/BIT:MONC/explorer/revenue_proj"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8"/>
  <sheetViews>
    <sheetView tabSelected="1" zoomScale="80" zoomScaleNormal="80" workbookViewId="0">
      <pane xSplit="1" ySplit="1" topLeftCell="L93" activePane="bottomRight" state="frozen"/>
      <selection pane="topRight"/>
      <selection pane="bottomLeft"/>
      <selection pane="bottomRight" activeCell="M112" sqref="M112"/>
    </sheetView>
  </sheetViews>
  <sheetFormatPr baseColWidth="10" defaultRowHeight="16" x14ac:dyDescent="0.2"/>
  <cols>
    <col min="1" max="1" width="50" customWidth="1"/>
    <col min="2" max="14" width="15" customWidth="1"/>
    <col min="15" max="23" width="21" customWidth="1"/>
  </cols>
  <sheetData>
    <row r="1" spans="1:23"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27">
        <v>2023</v>
      </c>
      <c r="P1" s="27">
        <v>2024</v>
      </c>
      <c r="Q1" s="27">
        <v>2025</v>
      </c>
      <c r="R1" s="27">
        <v>2026</v>
      </c>
      <c r="S1" s="27">
        <v>2027</v>
      </c>
    </row>
    <row r="2" spans="1:2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c r="S2" s="9"/>
      <c r="T2" s="9"/>
      <c r="U2" s="9"/>
      <c r="V2" s="9"/>
      <c r="W2" s="9"/>
    </row>
    <row r="3" spans="1:23" ht="40" x14ac:dyDescent="0.25">
      <c r="A3" s="5" t="s">
        <v>1</v>
      </c>
      <c r="B3" s="1">
        <v>428733000</v>
      </c>
      <c r="C3" s="1">
        <v>513364000</v>
      </c>
      <c r="D3" s="1">
        <v>623786000</v>
      </c>
      <c r="E3" s="1">
        <v>580577000</v>
      </c>
      <c r="F3" s="1">
        <v>694189000</v>
      </c>
      <c r="G3" s="1">
        <v>880393000</v>
      </c>
      <c r="H3" s="1">
        <v>1040311000</v>
      </c>
      <c r="I3" s="1">
        <v>1193704000</v>
      </c>
      <c r="J3" s="1">
        <v>1420074000</v>
      </c>
      <c r="K3" s="1">
        <v>1627704000</v>
      </c>
      <c r="L3" s="1">
        <v>1440409000</v>
      </c>
      <c r="M3" s="1">
        <v>2046103000</v>
      </c>
      <c r="N3" s="1">
        <v>2602890000</v>
      </c>
      <c r="O3" s="28">
        <v>3005000000</v>
      </c>
      <c r="P3" s="28">
        <v>3340000000</v>
      </c>
      <c r="Q3" s="28">
        <v>3673000000</v>
      </c>
      <c r="R3" s="28">
        <v>4016000000</v>
      </c>
      <c r="S3" s="28">
        <v>4418000000</v>
      </c>
      <c r="T3" s="18" t="s">
        <v>109</v>
      </c>
      <c r="U3" s="19" t="s">
        <v>110</v>
      </c>
      <c r="V3" s="19" t="s">
        <v>111</v>
      </c>
      <c r="W3" s="19" t="s">
        <v>112</v>
      </c>
    </row>
    <row r="4" spans="1:23" ht="19" x14ac:dyDescent="0.25">
      <c r="A4" s="14" t="s">
        <v>94</v>
      </c>
      <c r="B4" s="1"/>
      <c r="C4" s="15">
        <f>(C3/B3)-1</f>
        <v>0.19739791431963494</v>
      </c>
      <c r="D4" s="15">
        <f>(D3/C3)-1</f>
        <v>0.21509494238006566</v>
      </c>
      <c r="E4" s="15">
        <f>(E3/D3)-1</f>
        <v>-6.9268948004604147E-2</v>
      </c>
      <c r="F4" s="15">
        <f t="shared" ref="F4:S4" si="0">(F3/E3)-1</f>
        <v>0.1956880827177101</v>
      </c>
      <c r="G4" s="15">
        <f t="shared" si="0"/>
        <v>0.26823242661580626</v>
      </c>
      <c r="H4" s="16">
        <f t="shared" si="0"/>
        <v>0.18164387949472571</v>
      </c>
      <c r="I4" s="16">
        <f t="shared" si="0"/>
        <v>0.14744917625594645</v>
      </c>
      <c r="J4" s="16">
        <f t="shared" si="0"/>
        <v>0.18963662683546345</v>
      </c>
      <c r="K4" s="16">
        <f t="shared" si="0"/>
        <v>0.14621069042880874</v>
      </c>
      <c r="L4" s="16">
        <f t="shared" si="0"/>
        <v>-0.11506699006699006</v>
      </c>
      <c r="M4" s="16">
        <f t="shared" si="0"/>
        <v>0.42050139925535035</v>
      </c>
      <c r="N4" s="16">
        <f t="shared" si="0"/>
        <v>0.27212070946575029</v>
      </c>
      <c r="O4" s="16">
        <f t="shared" si="0"/>
        <v>0.15448597520448426</v>
      </c>
      <c r="P4" s="16">
        <f t="shared" si="0"/>
        <v>0.11148086522462552</v>
      </c>
      <c r="Q4" s="16">
        <f t="shared" si="0"/>
        <v>9.9700598802395124E-2</v>
      </c>
      <c r="R4" s="16">
        <f t="shared" si="0"/>
        <v>9.338415464198202E-2</v>
      </c>
      <c r="S4" s="16">
        <f t="shared" si="0"/>
        <v>0.10009960159362552</v>
      </c>
      <c r="T4" s="17">
        <f>(N4+M4+L4)/3</f>
        <v>0.19251837288470353</v>
      </c>
      <c r="U4" s="17">
        <f>(N20+M20+L20)/3</f>
        <v>0.18873696417066563</v>
      </c>
      <c r="V4" s="17">
        <f>(N29+M29+L29)/3</f>
        <v>0.229759379485723</v>
      </c>
      <c r="W4" s="17">
        <f>(N105+M105+L105)/3</f>
        <v>0.22790260486586214</v>
      </c>
    </row>
    <row r="5" spans="1:23" ht="19" x14ac:dyDescent="0.25">
      <c r="A5" s="5" t="s">
        <v>2</v>
      </c>
      <c r="B5" s="1">
        <v>193244000</v>
      </c>
      <c r="C5" s="1">
        <v>213274000</v>
      </c>
      <c r="D5" s="1">
        <v>233872000</v>
      </c>
      <c r="E5" s="1">
        <v>166520000</v>
      </c>
      <c r="F5" s="1">
        <v>192524000</v>
      </c>
      <c r="G5" s="1">
        <v>225495000</v>
      </c>
      <c r="H5" s="1">
        <v>252303000</v>
      </c>
      <c r="I5" s="1">
        <v>276186000</v>
      </c>
      <c r="J5" s="1">
        <v>320232000</v>
      </c>
      <c r="K5" s="1">
        <v>362424000</v>
      </c>
      <c r="L5" s="1">
        <v>350775000</v>
      </c>
      <c r="M5" s="1">
        <v>479197000</v>
      </c>
      <c r="N5" s="1">
        <v>615047000</v>
      </c>
    </row>
    <row r="6" spans="1:23" ht="20" x14ac:dyDescent="0.25">
      <c r="A6" s="6" t="s">
        <v>3</v>
      </c>
      <c r="B6" s="10">
        <v>235489000</v>
      </c>
      <c r="C6" s="10">
        <v>300090000</v>
      </c>
      <c r="D6" s="10">
        <v>389914000</v>
      </c>
      <c r="E6" s="10">
        <v>414057000</v>
      </c>
      <c r="F6" s="10">
        <v>501665000</v>
      </c>
      <c r="G6" s="10">
        <v>654898000</v>
      </c>
      <c r="H6" s="10">
        <v>788008000</v>
      </c>
      <c r="I6" s="10">
        <v>917518000</v>
      </c>
      <c r="J6" s="10">
        <v>1099842000</v>
      </c>
      <c r="K6" s="10">
        <v>1265280000</v>
      </c>
      <c r="L6" s="10">
        <v>1089634000</v>
      </c>
      <c r="M6" s="10">
        <v>1566906000</v>
      </c>
      <c r="N6" s="10">
        <v>1987843000</v>
      </c>
      <c r="T6" s="18" t="s">
        <v>113</v>
      </c>
      <c r="U6" s="19" t="s">
        <v>114</v>
      </c>
      <c r="V6" s="19" t="s">
        <v>115</v>
      </c>
      <c r="W6" s="19" t="s">
        <v>116</v>
      </c>
    </row>
    <row r="7" spans="1:23" ht="19" x14ac:dyDescent="0.25">
      <c r="A7" s="5" t="s">
        <v>4</v>
      </c>
      <c r="B7" s="2">
        <v>0.54930000000000001</v>
      </c>
      <c r="C7" s="2">
        <v>0.58460000000000001</v>
      </c>
      <c r="D7" s="2">
        <v>0.62509999999999999</v>
      </c>
      <c r="E7" s="2">
        <v>0.71319999999999995</v>
      </c>
      <c r="F7" s="2">
        <v>0.72270000000000001</v>
      </c>
      <c r="G7" s="2">
        <v>0.74390000000000001</v>
      </c>
      <c r="H7" s="2">
        <v>0.75749999999999995</v>
      </c>
      <c r="I7" s="2">
        <v>0.76859999999999995</v>
      </c>
      <c r="J7" s="2">
        <v>0.77449999999999997</v>
      </c>
      <c r="K7" s="2">
        <v>0.77729999999999999</v>
      </c>
      <c r="L7" s="2">
        <v>0.75649999999999995</v>
      </c>
      <c r="M7" s="2">
        <v>0.76580000000000004</v>
      </c>
      <c r="N7" s="2">
        <v>0.76370000000000005</v>
      </c>
      <c r="T7" s="17">
        <f>N7</f>
        <v>0.76370000000000005</v>
      </c>
      <c r="U7" s="20">
        <f>N21</f>
        <v>0.39900000000000002</v>
      </c>
      <c r="V7" s="20">
        <f>N30</f>
        <v>0.2331</v>
      </c>
      <c r="W7" s="20">
        <f>N106/N3</f>
        <v>0.189298817852464</v>
      </c>
    </row>
    <row r="8" spans="1:23" ht="19" x14ac:dyDescent="0.25">
      <c r="A8" s="5" t="s">
        <v>5</v>
      </c>
      <c r="B8" s="1">
        <v>0</v>
      </c>
      <c r="C8" s="1">
        <v>0</v>
      </c>
      <c r="D8" s="1">
        <v>0</v>
      </c>
      <c r="E8" s="1">
        <v>0</v>
      </c>
      <c r="F8" s="1">
        <v>0</v>
      </c>
      <c r="G8" s="1">
        <v>0</v>
      </c>
      <c r="H8" s="1">
        <v>0</v>
      </c>
      <c r="I8" s="1">
        <v>0</v>
      </c>
      <c r="J8" s="1">
        <v>0</v>
      </c>
      <c r="K8" s="1">
        <v>0</v>
      </c>
      <c r="L8" s="1">
        <v>0</v>
      </c>
      <c r="M8" s="1">
        <v>0</v>
      </c>
      <c r="N8" s="1">
        <v>0</v>
      </c>
    </row>
    <row r="9" spans="1:23" ht="19" customHeight="1" x14ac:dyDescent="0.25">
      <c r="A9" s="14" t="s">
        <v>95</v>
      </c>
      <c r="B9" s="15">
        <f>B8/B3</f>
        <v>0</v>
      </c>
      <c r="C9" s="15">
        <f t="shared" ref="C9:N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T9" s="18" t="s">
        <v>96</v>
      </c>
      <c r="U9" s="19" t="s">
        <v>97</v>
      </c>
      <c r="V9" s="19" t="s">
        <v>98</v>
      </c>
      <c r="W9" s="19" t="s">
        <v>99</v>
      </c>
    </row>
    <row r="10" spans="1:23" ht="19" x14ac:dyDescent="0.25">
      <c r="A10" s="5" t="s">
        <v>6</v>
      </c>
      <c r="B10" s="1">
        <v>20501000</v>
      </c>
      <c r="C10" s="1">
        <v>23975000</v>
      </c>
      <c r="D10" s="1">
        <v>31297000</v>
      </c>
      <c r="E10" s="1">
        <v>57911000</v>
      </c>
      <c r="F10" s="1">
        <v>66043000</v>
      </c>
      <c r="G10" s="1">
        <v>79535000</v>
      </c>
      <c r="H10" s="1">
        <v>94093000</v>
      </c>
      <c r="I10" s="1">
        <v>108660000</v>
      </c>
      <c r="J10" s="1">
        <v>127794000</v>
      </c>
      <c r="K10" s="1">
        <v>147717000</v>
      </c>
      <c r="L10" s="1">
        <v>173444000</v>
      </c>
      <c r="M10" s="1">
        <v>237109000</v>
      </c>
      <c r="N10" s="1">
        <v>283967000</v>
      </c>
      <c r="T10" s="17">
        <f>N9</f>
        <v>0</v>
      </c>
      <c r="U10" s="20">
        <f>N13</f>
        <v>0.46613418162119796</v>
      </c>
      <c r="V10" s="20">
        <f>N80</f>
        <v>1.4185386243752138E-2</v>
      </c>
      <c r="W10" s="20">
        <f>N89</f>
        <v>6.5255542877340186E-2</v>
      </c>
    </row>
    <row r="11" spans="1:23" ht="19" x14ac:dyDescent="0.25">
      <c r="A11" s="5" t="s">
        <v>7</v>
      </c>
      <c r="B11" s="1">
        <v>125971000</v>
      </c>
      <c r="C11" s="1">
        <v>171629000</v>
      </c>
      <c r="D11" s="1">
        <v>216478000</v>
      </c>
      <c r="E11" s="1">
        <v>183628000</v>
      </c>
      <c r="F11" s="1">
        <v>229038000</v>
      </c>
      <c r="G11" s="1">
        <v>311295000</v>
      </c>
      <c r="H11" s="1">
        <v>380496000</v>
      </c>
      <c r="I11" s="1">
        <v>444496000</v>
      </c>
      <c r="J11" s="1">
        <v>156882000</v>
      </c>
      <c r="K11" s="1">
        <v>181178000</v>
      </c>
      <c r="L11" s="1">
        <v>153669000</v>
      </c>
      <c r="M11" s="1">
        <v>277377000</v>
      </c>
      <c r="N11" s="1">
        <v>929329000</v>
      </c>
    </row>
    <row r="12" spans="1:23" ht="20" x14ac:dyDescent="0.25">
      <c r="A12" s="5" t="s">
        <v>8</v>
      </c>
      <c r="B12" s="1">
        <v>146472000</v>
      </c>
      <c r="C12" s="1">
        <v>195604000</v>
      </c>
      <c r="D12" s="1">
        <v>247775000</v>
      </c>
      <c r="E12" s="1">
        <v>241539000</v>
      </c>
      <c r="F12" s="1">
        <v>295081000</v>
      </c>
      <c r="G12" s="1">
        <v>390830000</v>
      </c>
      <c r="H12" s="1">
        <v>474589000</v>
      </c>
      <c r="I12" s="1">
        <v>553156000</v>
      </c>
      <c r="J12" s="1">
        <v>284676000</v>
      </c>
      <c r="K12" s="1">
        <v>328895000</v>
      </c>
      <c r="L12" s="1">
        <v>327113000</v>
      </c>
      <c r="M12" s="1">
        <v>514486000</v>
      </c>
      <c r="N12" s="1">
        <v>1213296000</v>
      </c>
      <c r="T12" s="18" t="s">
        <v>117</v>
      </c>
      <c r="U12" s="19" t="s">
        <v>118</v>
      </c>
      <c r="V12" s="19" t="s">
        <v>119</v>
      </c>
      <c r="W12" s="19" t="s">
        <v>120</v>
      </c>
    </row>
    <row r="13" spans="1:23" ht="19" x14ac:dyDescent="0.25">
      <c r="A13" s="14" t="s">
        <v>100</v>
      </c>
      <c r="B13" s="15">
        <f>B12/B3</f>
        <v>0.34163920202083814</v>
      </c>
      <c r="C13" s="15">
        <f t="shared" ref="C13:N13" si="2">C12/C3</f>
        <v>0.3810239907745771</v>
      </c>
      <c r="D13" s="15">
        <f t="shared" si="2"/>
        <v>0.39721154370248773</v>
      </c>
      <c r="E13" s="15">
        <f t="shared" si="2"/>
        <v>0.41603267094631718</v>
      </c>
      <c r="F13" s="15">
        <f t="shared" si="2"/>
        <v>0.4250729988518977</v>
      </c>
      <c r="G13" s="15">
        <f t="shared" si="2"/>
        <v>0.44392674635077745</v>
      </c>
      <c r="H13" s="15">
        <f t="shared" si="2"/>
        <v>0.45619915582936255</v>
      </c>
      <c r="I13" s="15">
        <f t="shared" si="2"/>
        <v>0.46339461038917523</v>
      </c>
      <c r="J13" s="15">
        <f t="shared" si="2"/>
        <v>0.20046560953865786</v>
      </c>
      <c r="K13" s="15">
        <f t="shared" si="2"/>
        <v>0.20206069408197067</v>
      </c>
      <c r="L13" s="15">
        <f t="shared" si="2"/>
        <v>0.22709730361307101</v>
      </c>
      <c r="M13" s="15">
        <f t="shared" si="2"/>
        <v>0.25144677467361126</v>
      </c>
      <c r="N13" s="15">
        <f t="shared" si="2"/>
        <v>0.46613418162119796</v>
      </c>
      <c r="T13" s="17">
        <f>N28/N72</f>
        <v>0.20904943542245974</v>
      </c>
      <c r="U13" s="20">
        <f>N28/N54</f>
        <v>0.13077305428046226</v>
      </c>
      <c r="V13" s="20">
        <f>N22/(N72+N56+N61)</f>
        <v>0.20302945072135958</v>
      </c>
      <c r="W13" s="21">
        <f>N67/N72</f>
        <v>0.59852661973626631</v>
      </c>
    </row>
    <row r="14" spans="1:23" ht="19" x14ac:dyDescent="0.25">
      <c r="A14" s="5" t="s">
        <v>9</v>
      </c>
      <c r="B14" s="1">
        <v>255000</v>
      </c>
      <c r="C14" s="1">
        <v>1937000</v>
      </c>
      <c r="D14" s="1">
        <v>56269000</v>
      </c>
      <c r="E14" s="1" t="s">
        <v>92</v>
      </c>
      <c r="F14" s="1" t="s">
        <v>92</v>
      </c>
      <c r="G14" s="1" t="s">
        <v>92</v>
      </c>
      <c r="H14" s="1" t="s">
        <v>92</v>
      </c>
      <c r="I14" s="1">
        <v>23485000</v>
      </c>
      <c r="J14" s="1">
        <v>401104000</v>
      </c>
      <c r="K14" s="1">
        <v>444586000</v>
      </c>
      <c r="L14" s="1">
        <v>393700000</v>
      </c>
      <c r="M14" s="1">
        <v>473200000</v>
      </c>
      <c r="N14" s="1" t="s">
        <v>92</v>
      </c>
    </row>
    <row r="15" spans="1:23" ht="20" x14ac:dyDescent="0.25">
      <c r="A15" s="5" t="s">
        <v>10</v>
      </c>
      <c r="B15" s="1">
        <v>146727000</v>
      </c>
      <c r="C15" s="1">
        <v>197541000</v>
      </c>
      <c r="D15" s="1">
        <v>304044000</v>
      </c>
      <c r="E15" s="1">
        <v>241539000</v>
      </c>
      <c r="F15" s="1">
        <v>295081000</v>
      </c>
      <c r="G15" s="1">
        <v>390830000</v>
      </c>
      <c r="H15" s="1">
        <v>474589000</v>
      </c>
      <c r="I15" s="1">
        <v>576641000</v>
      </c>
      <c r="J15" s="1">
        <v>685780000</v>
      </c>
      <c r="K15" s="1">
        <v>773481000</v>
      </c>
      <c r="L15" s="1">
        <v>720813000</v>
      </c>
      <c r="M15" s="1">
        <v>987686000</v>
      </c>
      <c r="N15" s="1">
        <v>1213296000</v>
      </c>
      <c r="T15" s="18" t="s">
        <v>121</v>
      </c>
      <c r="U15" s="19" t="s">
        <v>122</v>
      </c>
      <c r="V15" s="19" t="s">
        <v>123</v>
      </c>
      <c r="W15" s="19" t="s">
        <v>124</v>
      </c>
    </row>
    <row r="16" spans="1:23" ht="19" x14ac:dyDescent="0.25">
      <c r="A16" s="5" t="s">
        <v>11</v>
      </c>
      <c r="B16" s="1">
        <v>339971000</v>
      </c>
      <c r="C16" s="1">
        <v>410815000</v>
      </c>
      <c r="D16" s="1">
        <v>537916000</v>
      </c>
      <c r="E16" s="1">
        <v>408059000</v>
      </c>
      <c r="F16" s="1">
        <v>487605000</v>
      </c>
      <c r="G16" s="1">
        <v>616325000</v>
      </c>
      <c r="H16" s="1">
        <v>726892000</v>
      </c>
      <c r="I16" s="1">
        <v>852827000</v>
      </c>
      <c r="J16" s="1">
        <v>1006012000</v>
      </c>
      <c r="K16" s="1">
        <v>1135905000</v>
      </c>
      <c r="L16" s="1">
        <v>1071588000</v>
      </c>
      <c r="M16" s="1">
        <v>1466883000</v>
      </c>
      <c r="N16" s="1">
        <v>1828343000</v>
      </c>
      <c r="T16" s="29">
        <f>(N35+M35+L35+K35+J35)/5</f>
        <v>1.1117866437479751E-2</v>
      </c>
      <c r="U16" s="30">
        <f>V101/N3</f>
        <v>6.7019159472739913</v>
      </c>
      <c r="V16" s="30">
        <f>V101/N28</f>
        <v>28.752985427651694</v>
      </c>
      <c r="W16" s="31">
        <f>V101/N106</f>
        <v>35.403897516662475</v>
      </c>
    </row>
    <row r="17" spans="1:20" ht="19" x14ac:dyDescent="0.25">
      <c r="A17" s="5" t="s">
        <v>12</v>
      </c>
      <c r="B17" s="1">
        <v>9699000</v>
      </c>
      <c r="C17" s="1">
        <v>14529000</v>
      </c>
      <c r="D17" s="1">
        <v>18979000</v>
      </c>
      <c r="E17" s="1">
        <v>18314000</v>
      </c>
      <c r="F17" s="1">
        <v>12164000</v>
      </c>
      <c r="G17" s="1">
        <v>5975000</v>
      </c>
      <c r="H17" s="1">
        <v>3233000</v>
      </c>
      <c r="I17" s="1">
        <v>1899000</v>
      </c>
      <c r="J17" s="1">
        <v>1294000</v>
      </c>
      <c r="K17" s="1">
        <v>21746000</v>
      </c>
      <c r="L17" s="1">
        <v>23023000</v>
      </c>
      <c r="M17" s="1">
        <v>23337000</v>
      </c>
      <c r="N17" s="1">
        <v>26273000</v>
      </c>
    </row>
    <row r="18" spans="1:20" ht="20" x14ac:dyDescent="0.25">
      <c r="A18" s="5" t="s">
        <v>13</v>
      </c>
      <c r="B18" s="1">
        <v>10215000</v>
      </c>
      <c r="C18" s="1">
        <v>15527000</v>
      </c>
      <c r="D18" s="1">
        <v>21126000</v>
      </c>
      <c r="E18" s="1">
        <v>19185000</v>
      </c>
      <c r="F18" s="1">
        <v>26276000</v>
      </c>
      <c r="G18" s="1">
        <v>35959000</v>
      </c>
      <c r="H18" s="1">
        <v>41635000</v>
      </c>
      <c r="I18" s="1">
        <v>47273000</v>
      </c>
      <c r="J18" s="1">
        <v>56499000</v>
      </c>
      <c r="K18" s="1">
        <v>171797000</v>
      </c>
      <c r="L18" s="1">
        <v>200697000</v>
      </c>
      <c r="M18" s="1">
        <v>248228000</v>
      </c>
      <c r="N18" s="1">
        <v>263974000</v>
      </c>
      <c r="T18" s="18" t="s">
        <v>125</v>
      </c>
    </row>
    <row r="19" spans="1:20" ht="19" x14ac:dyDescent="0.25">
      <c r="A19" s="6" t="s">
        <v>14</v>
      </c>
      <c r="B19" s="10">
        <v>96921000</v>
      </c>
      <c r="C19" s="10">
        <v>116518000</v>
      </c>
      <c r="D19" s="10">
        <v>105490000</v>
      </c>
      <c r="E19" s="10">
        <v>164387000</v>
      </c>
      <c r="F19" s="10">
        <v>234155000</v>
      </c>
      <c r="G19" s="10">
        <v>292858000</v>
      </c>
      <c r="H19" s="10">
        <v>338236000</v>
      </c>
      <c r="I19" s="10">
        <v>384787000</v>
      </c>
      <c r="J19" s="10">
        <v>469885000</v>
      </c>
      <c r="K19" s="10">
        <v>663596000</v>
      </c>
      <c r="L19" s="10">
        <v>569518000</v>
      </c>
      <c r="M19" s="10">
        <v>827448000</v>
      </c>
      <c r="N19" s="10">
        <v>1038521000</v>
      </c>
      <c r="T19" s="32">
        <f>N40-N56-N61</f>
        <v>-30525000</v>
      </c>
    </row>
    <row r="20" spans="1:20" ht="19" customHeight="1" x14ac:dyDescent="0.25">
      <c r="A20" s="14" t="s">
        <v>101</v>
      </c>
      <c r="B20" s="1"/>
      <c r="C20" s="15">
        <f>(C19/B19)-1</f>
        <v>0.20219560260418268</v>
      </c>
      <c r="D20" s="15">
        <f>(D19/C19)-1</f>
        <v>-9.4646320740143119E-2</v>
      </c>
      <c r="E20" s="15">
        <f>(E19/D19)-1</f>
        <v>0.55831832401175463</v>
      </c>
      <c r="F20" s="15">
        <f t="shared" ref="F20:N20" si="3">(F19/E19)-1</f>
        <v>0.42441312269218368</v>
      </c>
      <c r="G20" s="15">
        <f t="shared" si="3"/>
        <v>0.2507014584356515</v>
      </c>
      <c r="H20" s="15">
        <f t="shared" si="3"/>
        <v>0.15494881478395683</v>
      </c>
      <c r="I20" s="15">
        <f t="shared" si="3"/>
        <v>0.1376287562530305</v>
      </c>
      <c r="J20" s="15">
        <f t="shared" si="3"/>
        <v>0.22115612013919383</v>
      </c>
      <c r="K20" s="15">
        <f t="shared" si="3"/>
        <v>0.41225193398384707</v>
      </c>
      <c r="L20" s="15">
        <f t="shared" si="3"/>
        <v>-0.14176999258585044</v>
      </c>
      <c r="M20" s="15">
        <f t="shared" si="3"/>
        <v>0.4528917435445412</v>
      </c>
      <c r="N20" s="15">
        <f t="shared" si="3"/>
        <v>0.25508914155330609</v>
      </c>
    </row>
    <row r="21" spans="1:20" ht="19" x14ac:dyDescent="0.25">
      <c r="A21" s="5" t="s">
        <v>15</v>
      </c>
      <c r="B21" s="2">
        <v>0.2261</v>
      </c>
      <c r="C21" s="2">
        <v>0.22700000000000001</v>
      </c>
      <c r="D21" s="2">
        <v>0.1691</v>
      </c>
      <c r="E21" s="2">
        <v>0.28310000000000002</v>
      </c>
      <c r="F21" s="2">
        <v>0.33729999999999999</v>
      </c>
      <c r="G21" s="2">
        <v>0.33260000000000001</v>
      </c>
      <c r="H21" s="2">
        <v>0.3251</v>
      </c>
      <c r="I21" s="2">
        <v>0.32229999999999998</v>
      </c>
      <c r="J21" s="2">
        <v>0.33090000000000003</v>
      </c>
      <c r="K21" s="2">
        <v>0.40770000000000001</v>
      </c>
      <c r="L21" s="2">
        <v>0.39539999999999997</v>
      </c>
      <c r="M21" s="2">
        <v>0.40439999999999998</v>
      </c>
      <c r="N21" s="2">
        <v>0.39900000000000002</v>
      </c>
    </row>
    <row r="22" spans="1:20" ht="19" x14ac:dyDescent="0.25">
      <c r="A22" s="6" t="s">
        <v>16</v>
      </c>
      <c r="B22" s="10">
        <v>88761000</v>
      </c>
      <c r="C22" s="10">
        <v>102549000</v>
      </c>
      <c r="D22" s="10">
        <v>85870000</v>
      </c>
      <c r="E22" s="10">
        <v>172518000</v>
      </c>
      <c r="F22" s="10">
        <v>206584000</v>
      </c>
      <c r="G22" s="10">
        <v>264068000</v>
      </c>
      <c r="H22" s="10">
        <v>313419000</v>
      </c>
      <c r="I22" s="10">
        <v>340877000</v>
      </c>
      <c r="J22" s="10">
        <v>414062000</v>
      </c>
      <c r="K22" s="10">
        <v>491799000</v>
      </c>
      <c r="L22" s="10">
        <v>368821000</v>
      </c>
      <c r="M22" s="10">
        <v>579220000</v>
      </c>
      <c r="N22" s="10">
        <v>774547000</v>
      </c>
    </row>
    <row r="23" spans="1:20" ht="19" x14ac:dyDescent="0.25">
      <c r="A23" s="5" t="s">
        <v>17</v>
      </c>
      <c r="B23" s="2">
        <v>0.20699999999999999</v>
      </c>
      <c r="C23" s="2">
        <v>0.19980000000000001</v>
      </c>
      <c r="D23" s="2">
        <v>0.13769999999999999</v>
      </c>
      <c r="E23" s="2">
        <v>0.29709999999999998</v>
      </c>
      <c r="F23" s="2">
        <v>0.29759999999999998</v>
      </c>
      <c r="G23" s="2">
        <v>0.2999</v>
      </c>
      <c r="H23" s="2">
        <v>0.30130000000000001</v>
      </c>
      <c r="I23" s="2">
        <v>0.28560000000000002</v>
      </c>
      <c r="J23" s="2">
        <v>0.29160000000000003</v>
      </c>
      <c r="K23" s="2">
        <v>0.30209999999999998</v>
      </c>
      <c r="L23" s="2">
        <v>0.25609999999999999</v>
      </c>
      <c r="M23" s="2">
        <v>0.28310000000000002</v>
      </c>
      <c r="N23" s="2">
        <v>0.29759999999999998</v>
      </c>
    </row>
    <row r="24" spans="1:20" ht="19" x14ac:dyDescent="0.25">
      <c r="A24" s="5" t="s">
        <v>18</v>
      </c>
      <c r="B24" s="1">
        <v>-9291000</v>
      </c>
      <c r="C24" s="1">
        <v>-13639000</v>
      </c>
      <c r="D24" s="1">
        <v>-18206000</v>
      </c>
      <c r="E24" s="1">
        <v>-27272000</v>
      </c>
      <c r="F24" s="1">
        <v>-11098000</v>
      </c>
      <c r="G24" s="1">
        <v>-13097000</v>
      </c>
      <c r="H24" s="1">
        <v>-20330000</v>
      </c>
      <c r="I24" s="1">
        <v>-5182000</v>
      </c>
      <c r="J24" s="1">
        <v>-1874000</v>
      </c>
      <c r="K24" s="1">
        <v>-21072000</v>
      </c>
      <c r="L24" s="1">
        <v>-23302000</v>
      </c>
      <c r="M24" s="1">
        <v>-21608000</v>
      </c>
      <c r="N24" s="1">
        <v>-27216000</v>
      </c>
    </row>
    <row r="25" spans="1:20" ht="19" x14ac:dyDescent="0.25">
      <c r="A25" s="6" t="s">
        <v>19</v>
      </c>
      <c r="B25" s="10">
        <v>79470000</v>
      </c>
      <c r="C25" s="10">
        <v>88910000</v>
      </c>
      <c r="D25" s="10">
        <v>67664000</v>
      </c>
      <c r="E25" s="10">
        <v>145246000</v>
      </c>
      <c r="F25" s="10">
        <v>195486000</v>
      </c>
      <c r="G25" s="10">
        <v>250971000</v>
      </c>
      <c r="H25" s="10">
        <v>293089000</v>
      </c>
      <c r="I25" s="10">
        <v>335695000</v>
      </c>
      <c r="J25" s="10">
        <v>412188000</v>
      </c>
      <c r="K25" s="10">
        <v>470727000</v>
      </c>
      <c r="L25" s="10">
        <v>345519000</v>
      </c>
      <c r="M25" s="10">
        <v>557612000</v>
      </c>
      <c r="N25" s="10">
        <v>747331000</v>
      </c>
    </row>
    <row r="26" spans="1:20" ht="19" x14ac:dyDescent="0.25">
      <c r="A26" s="5" t="s">
        <v>20</v>
      </c>
      <c r="B26" s="2">
        <v>0.18540000000000001</v>
      </c>
      <c r="C26" s="2">
        <v>0.17319999999999999</v>
      </c>
      <c r="D26" s="2">
        <v>0.1085</v>
      </c>
      <c r="E26" s="2">
        <v>0.25019999999999998</v>
      </c>
      <c r="F26" s="2">
        <v>0.28160000000000002</v>
      </c>
      <c r="G26" s="2">
        <v>0.28510000000000002</v>
      </c>
      <c r="H26" s="2">
        <v>0.28170000000000001</v>
      </c>
      <c r="I26" s="2">
        <v>0.28120000000000001</v>
      </c>
      <c r="J26" s="2">
        <v>0.2903</v>
      </c>
      <c r="K26" s="2">
        <v>0.28920000000000001</v>
      </c>
      <c r="L26" s="2">
        <v>0.2399</v>
      </c>
      <c r="M26" s="2">
        <v>0.27250000000000002</v>
      </c>
      <c r="N26" s="2">
        <v>0.28710000000000002</v>
      </c>
    </row>
    <row r="27" spans="1:20" ht="19" x14ac:dyDescent="0.25">
      <c r="A27" s="5" t="s">
        <v>21</v>
      </c>
      <c r="B27" s="1">
        <v>27306000</v>
      </c>
      <c r="C27" s="1">
        <v>31430000</v>
      </c>
      <c r="D27" s="1">
        <v>36541000</v>
      </c>
      <c r="E27" s="1">
        <v>50816000</v>
      </c>
      <c r="F27" s="1">
        <v>65377000</v>
      </c>
      <c r="G27" s="1">
        <v>83061000</v>
      </c>
      <c r="H27" s="1">
        <v>96767000</v>
      </c>
      <c r="I27" s="1">
        <v>85927000</v>
      </c>
      <c r="J27" s="1">
        <v>79697000</v>
      </c>
      <c r="K27" s="1">
        <v>112032000</v>
      </c>
      <c r="L27" s="1">
        <v>45153000</v>
      </c>
      <c r="M27" s="1">
        <v>164059000</v>
      </c>
      <c r="N27" s="1">
        <v>140625000</v>
      </c>
    </row>
    <row r="28" spans="1:20" ht="20" thickBot="1" x14ac:dyDescent="0.3">
      <c r="A28" s="7" t="s">
        <v>22</v>
      </c>
      <c r="B28" s="11">
        <v>49701000</v>
      </c>
      <c r="C28" s="11">
        <v>55032000</v>
      </c>
      <c r="D28" s="11">
        <v>28844000</v>
      </c>
      <c r="E28" s="11">
        <v>76072000</v>
      </c>
      <c r="F28" s="11">
        <v>130338000</v>
      </c>
      <c r="G28" s="11">
        <v>167863000</v>
      </c>
      <c r="H28" s="11">
        <v>196601000</v>
      </c>
      <c r="I28" s="11">
        <v>249688000</v>
      </c>
      <c r="J28" s="11">
        <v>332395000</v>
      </c>
      <c r="K28" s="11">
        <v>358685000</v>
      </c>
      <c r="L28" s="11">
        <v>300351000</v>
      </c>
      <c r="M28" s="11">
        <v>393533000</v>
      </c>
      <c r="N28" s="11">
        <v>606697000</v>
      </c>
    </row>
    <row r="29" spans="1:20" ht="20" customHeight="1" thickTop="1" x14ac:dyDescent="0.25">
      <c r="A29" s="14" t="s">
        <v>102</v>
      </c>
      <c r="B29" s="1"/>
      <c r="C29" s="15">
        <f>(C28/B28)-1</f>
        <v>0.1072614233114022</v>
      </c>
      <c r="D29" s="15">
        <f>(D28/C28)-1</f>
        <v>-0.47586858555022538</v>
      </c>
      <c r="E29" s="15">
        <f>(E28/D28)-1</f>
        <v>1.6373595895160173</v>
      </c>
      <c r="F29" s="15">
        <f t="shared" ref="F29:N29" si="4">(F28/E28)-1</f>
        <v>0.713350510043117</v>
      </c>
      <c r="G29" s="15">
        <f t="shared" si="4"/>
        <v>0.28790529239362272</v>
      </c>
      <c r="H29" s="15">
        <f t="shared" si="4"/>
        <v>0.1711991326260105</v>
      </c>
      <c r="I29" s="15">
        <f t="shared" si="4"/>
        <v>0.27002405888067704</v>
      </c>
      <c r="J29" s="15">
        <f t="shared" si="4"/>
        <v>0.33124138925378865</v>
      </c>
      <c r="K29" s="15">
        <f t="shared" si="4"/>
        <v>7.909264579792108E-2</v>
      </c>
      <c r="L29" s="15">
        <f t="shared" si="4"/>
        <v>-0.16263295091793639</v>
      </c>
      <c r="M29" s="15">
        <f t="shared" si="4"/>
        <v>0.31024368155924242</v>
      </c>
      <c r="N29" s="15">
        <f t="shared" si="4"/>
        <v>0.54166740781586298</v>
      </c>
    </row>
    <row r="30" spans="1:20" ht="19" x14ac:dyDescent="0.25">
      <c r="A30" s="5" t="s">
        <v>23</v>
      </c>
      <c r="B30" s="2">
        <v>0.1159</v>
      </c>
      <c r="C30" s="2">
        <v>0.1072</v>
      </c>
      <c r="D30" s="2">
        <v>4.6199999999999998E-2</v>
      </c>
      <c r="E30" s="2">
        <v>0.13100000000000001</v>
      </c>
      <c r="F30" s="2">
        <v>0.18779999999999999</v>
      </c>
      <c r="G30" s="2">
        <v>0.19070000000000001</v>
      </c>
      <c r="H30" s="2">
        <v>0.189</v>
      </c>
      <c r="I30" s="2">
        <v>0.2092</v>
      </c>
      <c r="J30" s="2">
        <v>0.2341</v>
      </c>
      <c r="K30" s="2">
        <v>0.22040000000000001</v>
      </c>
      <c r="L30" s="2">
        <v>0.20849999999999999</v>
      </c>
      <c r="M30" s="2">
        <v>0.1923</v>
      </c>
      <c r="N30" s="2">
        <v>0.2331</v>
      </c>
    </row>
    <row r="31" spans="1:20" ht="19" x14ac:dyDescent="0.25">
      <c r="A31" s="5" t="s">
        <v>24</v>
      </c>
      <c r="B31" s="12">
        <v>0.2</v>
      </c>
      <c r="C31" s="12">
        <v>0.22</v>
      </c>
      <c r="D31" s="12">
        <v>0.12</v>
      </c>
      <c r="E31" s="12">
        <v>0.3</v>
      </c>
      <c r="F31" s="12">
        <v>0.52</v>
      </c>
      <c r="G31" s="12">
        <v>0.67</v>
      </c>
      <c r="H31" s="12">
        <v>0.79</v>
      </c>
      <c r="I31" s="12">
        <v>0.99</v>
      </c>
      <c r="J31" s="12">
        <v>1.32</v>
      </c>
      <c r="K31" s="12">
        <v>1.42</v>
      </c>
      <c r="L31" s="12">
        <v>1.19</v>
      </c>
      <c r="M31" s="12">
        <v>1.48</v>
      </c>
      <c r="N31" s="12">
        <v>2.2599999999999998</v>
      </c>
    </row>
    <row r="32" spans="1:20" ht="19" x14ac:dyDescent="0.25">
      <c r="A32" s="5" t="s">
        <v>25</v>
      </c>
      <c r="B32" s="12">
        <v>0.2</v>
      </c>
      <c r="C32" s="12">
        <v>0.22</v>
      </c>
      <c r="D32" s="12">
        <v>0.12</v>
      </c>
      <c r="E32" s="12">
        <v>0.3</v>
      </c>
      <c r="F32" s="12">
        <v>0.52</v>
      </c>
      <c r="G32" s="12">
        <v>0.67</v>
      </c>
      <c r="H32" s="12">
        <v>0.78</v>
      </c>
      <c r="I32" s="12">
        <v>0.98</v>
      </c>
      <c r="J32" s="12">
        <v>1.31</v>
      </c>
      <c r="K32" s="12">
        <v>1.42</v>
      </c>
      <c r="L32" s="12">
        <v>1.18</v>
      </c>
      <c r="M32" s="12">
        <v>1.47</v>
      </c>
      <c r="N32" s="12">
        <v>2.2400000000000002</v>
      </c>
    </row>
    <row r="33" spans="1:14" ht="19" x14ac:dyDescent="0.25">
      <c r="A33" s="5" t="s">
        <v>26</v>
      </c>
      <c r="B33" s="1">
        <v>250000000</v>
      </c>
      <c r="C33" s="1">
        <v>250000000</v>
      </c>
      <c r="D33" s="1">
        <v>250000000</v>
      </c>
      <c r="E33" s="1">
        <v>250000000</v>
      </c>
      <c r="F33" s="1">
        <v>250000000</v>
      </c>
      <c r="G33" s="1">
        <v>250086129</v>
      </c>
      <c r="H33" s="1">
        <v>249268029</v>
      </c>
      <c r="I33" s="1">
        <v>252060094</v>
      </c>
      <c r="J33" s="1">
        <v>251473499</v>
      </c>
      <c r="K33" s="1">
        <v>251723961</v>
      </c>
      <c r="L33" s="1">
        <v>252674625</v>
      </c>
      <c r="M33" s="1">
        <v>265570691</v>
      </c>
      <c r="N33" s="1">
        <v>268974283</v>
      </c>
    </row>
    <row r="34" spans="1:14" ht="19" x14ac:dyDescent="0.25">
      <c r="A34" s="5" t="s">
        <v>27</v>
      </c>
      <c r="B34" s="1">
        <v>250000000</v>
      </c>
      <c r="C34" s="1">
        <v>250000000</v>
      </c>
      <c r="D34" s="1">
        <v>250000000</v>
      </c>
      <c r="E34" s="1">
        <v>250000000</v>
      </c>
      <c r="F34" s="1">
        <v>250000000</v>
      </c>
      <c r="G34" s="1">
        <v>250086129</v>
      </c>
      <c r="H34" s="1">
        <v>252052564</v>
      </c>
      <c r="I34" s="1">
        <v>254783673</v>
      </c>
      <c r="J34" s="1">
        <v>253736641</v>
      </c>
      <c r="K34" s="1">
        <v>251723961</v>
      </c>
      <c r="L34" s="1">
        <v>252674625</v>
      </c>
      <c r="M34" s="1">
        <v>265570691</v>
      </c>
      <c r="N34" s="1">
        <v>268974283</v>
      </c>
    </row>
    <row r="35" spans="1:14" ht="20" customHeight="1" x14ac:dyDescent="0.25">
      <c r="A35" s="14" t="s">
        <v>103</v>
      </c>
      <c r="B35" s="1"/>
      <c r="C35" s="22">
        <f>(C34-B34)/B34</f>
        <v>0</v>
      </c>
      <c r="D35" s="22">
        <f t="shared" ref="D35:N35" si="5">(D34-C34)/C34</f>
        <v>0</v>
      </c>
      <c r="E35" s="22">
        <f t="shared" si="5"/>
        <v>0</v>
      </c>
      <c r="F35" s="22">
        <f t="shared" si="5"/>
        <v>0</v>
      </c>
      <c r="G35" s="22">
        <f t="shared" si="5"/>
        <v>3.4451600000000001E-4</v>
      </c>
      <c r="H35" s="22">
        <f t="shared" si="5"/>
        <v>7.863031059991336E-3</v>
      </c>
      <c r="I35" s="22">
        <f t="shared" si="5"/>
        <v>1.0835473984704238E-2</v>
      </c>
      <c r="J35" s="22">
        <f t="shared" si="5"/>
        <v>-4.1094940961935184E-3</v>
      </c>
      <c r="K35" s="22">
        <f t="shared" si="5"/>
        <v>-7.9321614413584048E-3</v>
      </c>
      <c r="L35" s="22">
        <f t="shared" si="5"/>
        <v>3.7766130654522793E-3</v>
      </c>
      <c r="M35" s="22">
        <f t="shared" si="5"/>
        <v>5.1038231480505805E-2</v>
      </c>
      <c r="N35" s="22">
        <f t="shared" si="5"/>
        <v>1.2816143178992594E-2</v>
      </c>
    </row>
    <row r="36" spans="1:1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row>
    <row r="37" spans="1:1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row>
    <row r="38" spans="1:14" ht="19" x14ac:dyDescent="0.25">
      <c r="A38" s="5" t="s">
        <v>30</v>
      </c>
      <c r="B38" s="1">
        <v>57929000</v>
      </c>
      <c r="C38" s="1">
        <v>58345000</v>
      </c>
      <c r="D38" s="1">
        <v>94679000</v>
      </c>
      <c r="E38" s="1">
        <v>105300000</v>
      </c>
      <c r="F38" s="1">
        <v>123419000</v>
      </c>
      <c r="G38" s="1">
        <v>148603000</v>
      </c>
      <c r="H38" s="1">
        <v>243389000</v>
      </c>
      <c r="I38" s="1">
        <v>394144000</v>
      </c>
      <c r="J38" s="1">
        <v>546282000</v>
      </c>
      <c r="K38" s="1">
        <v>759073000</v>
      </c>
      <c r="L38" s="1">
        <v>923498000</v>
      </c>
      <c r="M38" s="1">
        <v>932718000</v>
      </c>
      <c r="N38" s="1">
        <v>882254000</v>
      </c>
    </row>
    <row r="39" spans="1:14" ht="19" x14ac:dyDescent="0.25">
      <c r="A39" s="5" t="s">
        <v>31</v>
      </c>
      <c r="B39" s="1" t="s">
        <v>92</v>
      </c>
      <c r="C39" s="1" t="s">
        <v>92</v>
      </c>
      <c r="D39" s="1" t="s">
        <v>92</v>
      </c>
      <c r="E39" s="1" t="s">
        <v>92</v>
      </c>
      <c r="F39" s="1" t="s">
        <v>92</v>
      </c>
      <c r="G39" s="1" t="s">
        <v>92</v>
      </c>
      <c r="H39" s="1">
        <v>3019000</v>
      </c>
      <c r="I39" s="1">
        <v>3884000</v>
      </c>
      <c r="J39" s="1">
        <v>259000</v>
      </c>
      <c r="K39" s="1" t="s">
        <v>92</v>
      </c>
      <c r="L39" s="1" t="s">
        <v>92</v>
      </c>
      <c r="M39" s="1" t="s">
        <v>92</v>
      </c>
      <c r="N39" s="1" t="s">
        <v>92</v>
      </c>
    </row>
    <row r="40" spans="1:14" ht="19" x14ac:dyDescent="0.25">
      <c r="A40" s="5" t="s">
        <v>32</v>
      </c>
      <c r="B40" s="1">
        <v>57929000</v>
      </c>
      <c r="C40" s="1">
        <v>58345000</v>
      </c>
      <c r="D40" s="1">
        <v>94679000</v>
      </c>
      <c r="E40" s="1">
        <v>105300000</v>
      </c>
      <c r="F40" s="1">
        <v>123419000</v>
      </c>
      <c r="G40" s="1">
        <v>148603000</v>
      </c>
      <c r="H40" s="1">
        <v>246408000</v>
      </c>
      <c r="I40" s="1">
        <v>398028000</v>
      </c>
      <c r="J40" s="1">
        <v>546541000</v>
      </c>
      <c r="K40" s="1">
        <v>759073000</v>
      </c>
      <c r="L40" s="1">
        <v>923498000</v>
      </c>
      <c r="M40" s="1">
        <v>932718000</v>
      </c>
      <c r="N40" s="1">
        <v>882254000</v>
      </c>
    </row>
    <row r="41" spans="1:14" ht="19" x14ac:dyDescent="0.25">
      <c r="A41" s="5" t="s">
        <v>33</v>
      </c>
      <c r="B41" s="1" t="s">
        <v>92</v>
      </c>
      <c r="C41" s="1" t="s">
        <v>92</v>
      </c>
      <c r="D41" s="1" t="s">
        <v>92</v>
      </c>
      <c r="E41" s="1" t="s">
        <v>92</v>
      </c>
      <c r="F41" s="1" t="s">
        <v>92</v>
      </c>
      <c r="G41" s="1" t="s">
        <v>92</v>
      </c>
      <c r="H41" s="1" t="s">
        <v>92</v>
      </c>
      <c r="I41" s="1">
        <v>121000000</v>
      </c>
      <c r="J41" s="1">
        <v>155000000</v>
      </c>
      <c r="K41" s="1" t="s">
        <v>92</v>
      </c>
      <c r="L41" s="1" t="s">
        <v>92</v>
      </c>
      <c r="M41" s="1">
        <v>234000000</v>
      </c>
      <c r="N41" s="1" t="s">
        <v>92</v>
      </c>
    </row>
    <row r="42" spans="1:14" ht="19" x14ac:dyDescent="0.25">
      <c r="A42" s="5" t="s">
        <v>34</v>
      </c>
      <c r="B42" s="1">
        <v>83363000</v>
      </c>
      <c r="C42" s="1">
        <v>95207000</v>
      </c>
      <c r="D42" s="1">
        <v>96663000</v>
      </c>
      <c r="E42" s="1">
        <v>77224000</v>
      </c>
      <c r="F42" s="1">
        <v>122821000</v>
      </c>
      <c r="G42" s="1">
        <v>134063000</v>
      </c>
      <c r="H42" s="1">
        <v>135849000</v>
      </c>
      <c r="I42" s="1">
        <v>136159000</v>
      </c>
      <c r="J42" s="1">
        <v>173149000</v>
      </c>
      <c r="K42" s="1">
        <v>208868000</v>
      </c>
      <c r="L42" s="1">
        <v>202770000</v>
      </c>
      <c r="M42" s="1">
        <v>263521000</v>
      </c>
      <c r="N42" s="1">
        <v>377549000</v>
      </c>
    </row>
    <row r="43" spans="1:14" ht="19" x14ac:dyDescent="0.25">
      <c r="A43" s="5" t="s">
        <v>35</v>
      </c>
      <c r="B43" s="1">
        <v>111968000</v>
      </c>
      <c r="C43" s="1">
        <v>117533000</v>
      </c>
      <c r="D43" s="1">
        <v>137934000</v>
      </c>
      <c r="E43" s="1">
        <v>139736000</v>
      </c>
      <c r="F43" s="1">
        <v>126078000</v>
      </c>
      <c r="G43" s="1">
        <v>114922000</v>
      </c>
      <c r="H43" s="1">
        <v>123780000</v>
      </c>
      <c r="I43" s="1">
        <v>178409000</v>
      </c>
      <c r="J43" s="1">
        <v>182732000</v>
      </c>
      <c r="K43" s="1" t="s">
        <v>92</v>
      </c>
      <c r="L43" s="1" t="s">
        <v>92</v>
      </c>
      <c r="M43" s="1">
        <v>267717000</v>
      </c>
      <c r="N43" s="1" t="s">
        <v>92</v>
      </c>
    </row>
    <row r="44" spans="1:14" ht="19" x14ac:dyDescent="0.25">
      <c r="A44" s="6" t="s">
        <v>36</v>
      </c>
      <c r="B44" s="10">
        <v>253260000</v>
      </c>
      <c r="C44" s="10">
        <v>271085000</v>
      </c>
      <c r="D44" s="10">
        <v>329276000</v>
      </c>
      <c r="E44" s="10">
        <v>322260000</v>
      </c>
      <c r="F44" s="10">
        <v>372318000</v>
      </c>
      <c r="G44" s="10">
        <v>397588000</v>
      </c>
      <c r="H44" s="10">
        <v>506037000</v>
      </c>
      <c r="I44" s="10">
        <v>712596000</v>
      </c>
      <c r="J44" s="10">
        <v>902422000</v>
      </c>
      <c r="K44" s="10">
        <v>1164320000</v>
      </c>
      <c r="L44" s="10">
        <v>1331380000</v>
      </c>
      <c r="M44" s="10">
        <v>1463956000</v>
      </c>
      <c r="N44" s="10">
        <v>1620996000</v>
      </c>
    </row>
    <row r="45" spans="1:14" ht="19" x14ac:dyDescent="0.25">
      <c r="A45" s="5" t="s">
        <v>37</v>
      </c>
      <c r="B45" s="1">
        <v>30616000</v>
      </c>
      <c r="C45" s="1">
        <v>49167000</v>
      </c>
      <c r="D45" s="1">
        <v>51816000</v>
      </c>
      <c r="E45" s="1">
        <v>58248000</v>
      </c>
      <c r="F45" s="1">
        <v>77254000</v>
      </c>
      <c r="G45" s="1">
        <v>102234000</v>
      </c>
      <c r="H45" s="1">
        <v>123925000</v>
      </c>
      <c r="I45" s="1">
        <v>138127000</v>
      </c>
      <c r="J45" s="1">
        <v>176970000</v>
      </c>
      <c r="K45" s="1">
        <v>806540000</v>
      </c>
      <c r="L45" s="1">
        <v>802987000</v>
      </c>
      <c r="M45" s="1">
        <v>913322000</v>
      </c>
      <c r="N45" s="1">
        <v>1074490000</v>
      </c>
    </row>
    <row r="46" spans="1:14" ht="19" x14ac:dyDescent="0.25">
      <c r="A46" s="5" t="s">
        <v>38</v>
      </c>
      <c r="B46" s="1">
        <v>155582000</v>
      </c>
      <c r="C46" s="1">
        <v>155582000</v>
      </c>
      <c r="D46" s="1">
        <v>155582000</v>
      </c>
      <c r="E46" s="1">
        <v>155582000</v>
      </c>
      <c r="F46" s="1">
        <v>155582000</v>
      </c>
      <c r="G46" s="1">
        <v>155582000</v>
      </c>
      <c r="H46" s="1">
        <v>155582000</v>
      </c>
      <c r="I46" s="1">
        <v>155582000</v>
      </c>
      <c r="J46" s="1">
        <v>155582000</v>
      </c>
      <c r="K46" s="1">
        <v>155582000</v>
      </c>
      <c r="L46" s="1">
        <v>155582000</v>
      </c>
      <c r="M46" s="1">
        <v>603417000</v>
      </c>
      <c r="N46" s="1">
        <v>603417000</v>
      </c>
    </row>
    <row r="47" spans="1:14" ht="19" x14ac:dyDescent="0.25">
      <c r="A47" s="5" t="s">
        <v>39</v>
      </c>
      <c r="B47" s="1">
        <v>318258000</v>
      </c>
      <c r="C47" s="1">
        <v>322377000</v>
      </c>
      <c r="D47" s="1">
        <v>265785000</v>
      </c>
      <c r="E47" s="1">
        <v>252739000</v>
      </c>
      <c r="F47" s="1">
        <v>258771000</v>
      </c>
      <c r="G47" s="1">
        <v>268014000</v>
      </c>
      <c r="H47" s="1">
        <v>266882000</v>
      </c>
      <c r="I47" s="1">
        <v>270687000</v>
      </c>
      <c r="J47" s="1">
        <v>268820000</v>
      </c>
      <c r="K47" s="1">
        <v>279390000</v>
      </c>
      <c r="L47" s="1">
        <v>282308000</v>
      </c>
      <c r="M47" s="1">
        <v>1070074000</v>
      </c>
      <c r="N47" s="1">
        <v>1086706000</v>
      </c>
    </row>
    <row r="48" spans="1:14" ht="19" x14ac:dyDescent="0.25">
      <c r="A48" s="5" t="s">
        <v>40</v>
      </c>
      <c r="B48" s="1">
        <v>473840000</v>
      </c>
      <c r="C48" s="1">
        <v>477959000</v>
      </c>
      <c r="D48" s="1">
        <v>421367000</v>
      </c>
      <c r="E48" s="1">
        <v>408321000</v>
      </c>
      <c r="F48" s="1">
        <v>414353000</v>
      </c>
      <c r="G48" s="1">
        <v>423596000</v>
      </c>
      <c r="H48" s="1">
        <v>422464000</v>
      </c>
      <c r="I48" s="1">
        <v>426269000</v>
      </c>
      <c r="J48" s="1">
        <v>424402000</v>
      </c>
      <c r="K48" s="1">
        <v>434972000</v>
      </c>
      <c r="L48" s="1">
        <v>437890000</v>
      </c>
      <c r="M48" s="1">
        <v>1673491000</v>
      </c>
      <c r="N48" s="1">
        <v>1690123000</v>
      </c>
    </row>
    <row r="49" spans="1:14" ht="19" x14ac:dyDescent="0.25">
      <c r="A49" s="5" t="s">
        <v>41</v>
      </c>
      <c r="B49" s="1" t="s">
        <v>92</v>
      </c>
      <c r="C49" s="1" t="s">
        <v>92</v>
      </c>
      <c r="D49" s="1" t="s">
        <v>92</v>
      </c>
      <c r="E49" s="1" t="s">
        <v>92</v>
      </c>
      <c r="F49" s="1" t="s">
        <v>92</v>
      </c>
      <c r="G49" s="1" t="s">
        <v>92</v>
      </c>
      <c r="H49" s="1" t="s">
        <v>92</v>
      </c>
      <c r="I49" s="1" t="s">
        <v>92</v>
      </c>
      <c r="J49" s="1">
        <v>-214000</v>
      </c>
      <c r="K49" s="1" t="s">
        <v>92</v>
      </c>
      <c r="L49" s="1" t="s">
        <v>92</v>
      </c>
      <c r="M49" s="1" t="s">
        <v>92</v>
      </c>
      <c r="N49" s="1" t="s">
        <v>92</v>
      </c>
    </row>
    <row r="50" spans="1:14" ht="19" x14ac:dyDescent="0.25">
      <c r="A50" s="5" t="s">
        <v>42</v>
      </c>
      <c r="B50" s="1">
        <v>14872000</v>
      </c>
      <c r="C50" s="1">
        <v>21545000</v>
      </c>
      <c r="D50" s="1">
        <v>22561000</v>
      </c>
      <c r="E50" s="1">
        <v>25133000</v>
      </c>
      <c r="F50" s="1">
        <v>45968000</v>
      </c>
      <c r="G50" s="1">
        <v>65970000</v>
      </c>
      <c r="H50" s="1">
        <v>74682000</v>
      </c>
      <c r="I50" s="1">
        <v>78991000</v>
      </c>
      <c r="J50" s="1">
        <v>91898000</v>
      </c>
      <c r="K50" s="1">
        <v>129134000</v>
      </c>
      <c r="L50" s="1">
        <v>150832000</v>
      </c>
      <c r="M50" s="1">
        <v>179312000</v>
      </c>
      <c r="N50" s="1">
        <v>205932000</v>
      </c>
    </row>
    <row r="51" spans="1:14" ht="19" x14ac:dyDescent="0.25">
      <c r="A51" s="5" t="s">
        <v>43</v>
      </c>
      <c r="B51" s="1">
        <v>6394000</v>
      </c>
      <c r="C51" s="1">
        <v>10014000</v>
      </c>
      <c r="D51" s="1">
        <v>12284000</v>
      </c>
      <c r="E51" s="1">
        <v>11663000</v>
      </c>
      <c r="F51" s="1">
        <v>17251000</v>
      </c>
      <c r="G51" s="1">
        <v>22676000</v>
      </c>
      <c r="H51" s="1">
        <v>24691000</v>
      </c>
      <c r="I51" s="1">
        <v>24064000</v>
      </c>
      <c r="J51" s="1">
        <v>30165000</v>
      </c>
      <c r="K51" s="1">
        <v>30457000</v>
      </c>
      <c r="L51" s="1">
        <v>33523000</v>
      </c>
      <c r="M51" s="1">
        <v>37908000</v>
      </c>
      <c r="N51" s="1">
        <v>47771000</v>
      </c>
    </row>
    <row r="52" spans="1:14" ht="19" x14ac:dyDescent="0.25">
      <c r="A52" s="5" t="s">
        <v>44</v>
      </c>
      <c r="B52" s="1">
        <v>525722000</v>
      </c>
      <c r="C52" s="1">
        <v>558685000</v>
      </c>
      <c r="D52" s="1">
        <v>508028000</v>
      </c>
      <c r="E52" s="1">
        <v>503365000</v>
      </c>
      <c r="F52" s="1">
        <v>554826000</v>
      </c>
      <c r="G52" s="1">
        <v>614476000</v>
      </c>
      <c r="H52" s="1">
        <v>645762000</v>
      </c>
      <c r="I52" s="1">
        <v>667451000</v>
      </c>
      <c r="J52" s="1">
        <v>723221000</v>
      </c>
      <c r="K52" s="1">
        <v>1401103000</v>
      </c>
      <c r="L52" s="1">
        <v>1425232000</v>
      </c>
      <c r="M52" s="1">
        <v>2804033000</v>
      </c>
      <c r="N52" s="1">
        <v>3018316000</v>
      </c>
    </row>
    <row r="53" spans="1:1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row>
    <row r="54" spans="1:14" ht="20" thickBot="1" x14ac:dyDescent="0.3">
      <c r="A54" s="7" t="s">
        <v>46</v>
      </c>
      <c r="B54" s="11">
        <v>778982000</v>
      </c>
      <c r="C54" s="11">
        <v>829770000</v>
      </c>
      <c r="D54" s="11">
        <v>837304000</v>
      </c>
      <c r="E54" s="11">
        <v>825625000</v>
      </c>
      <c r="F54" s="11">
        <v>927144000</v>
      </c>
      <c r="G54" s="11">
        <v>1012064000</v>
      </c>
      <c r="H54" s="11">
        <v>1151799000</v>
      </c>
      <c r="I54" s="11">
        <v>1380047000</v>
      </c>
      <c r="J54" s="11">
        <v>1625643000</v>
      </c>
      <c r="K54" s="11">
        <v>2565423000</v>
      </c>
      <c r="L54" s="11">
        <v>2756612000</v>
      </c>
      <c r="M54" s="11">
        <v>4267989000</v>
      </c>
      <c r="N54" s="11">
        <v>4639312000</v>
      </c>
    </row>
    <row r="55" spans="1:14" ht="20" thickTop="1" x14ac:dyDescent="0.25">
      <c r="A55" s="5" t="s">
        <v>47</v>
      </c>
      <c r="B55" s="1">
        <v>110285000</v>
      </c>
      <c r="C55" s="1">
        <v>122133000</v>
      </c>
      <c r="D55" s="1">
        <v>125080000</v>
      </c>
      <c r="E55" s="1">
        <v>107077000</v>
      </c>
      <c r="F55" s="1">
        <v>112323000</v>
      </c>
      <c r="G55" s="1">
        <v>112969000</v>
      </c>
      <c r="H55" s="1">
        <v>132586000</v>
      </c>
      <c r="I55" s="1">
        <v>167212000</v>
      </c>
      <c r="J55" s="1">
        <v>224989000</v>
      </c>
      <c r="K55" s="1">
        <v>248621000</v>
      </c>
      <c r="L55" s="1">
        <v>211903000</v>
      </c>
      <c r="M55" s="1">
        <v>348953000</v>
      </c>
      <c r="N55" s="1">
        <v>482425000</v>
      </c>
    </row>
    <row r="56" spans="1:14" ht="19" x14ac:dyDescent="0.25">
      <c r="A56" s="5" t="s">
        <v>48</v>
      </c>
      <c r="B56" s="1">
        <v>54767000</v>
      </c>
      <c r="C56" s="1">
        <v>106378000</v>
      </c>
      <c r="D56" s="1">
        <v>96649000</v>
      </c>
      <c r="E56" s="1">
        <v>116244000</v>
      </c>
      <c r="F56" s="1">
        <v>80331000</v>
      </c>
      <c r="G56" s="1">
        <v>71182000</v>
      </c>
      <c r="H56" s="1">
        <v>64777000</v>
      </c>
      <c r="I56" s="1">
        <v>25202000</v>
      </c>
      <c r="J56" s="1">
        <v>15649000</v>
      </c>
      <c r="K56" s="1">
        <v>126781000</v>
      </c>
      <c r="L56" s="1">
        <v>150423000</v>
      </c>
      <c r="M56" s="1">
        <v>289191000</v>
      </c>
      <c r="N56" s="1">
        <v>194070000</v>
      </c>
    </row>
    <row r="57" spans="1:14" ht="19" x14ac:dyDescent="0.25">
      <c r="A57" s="5" t="s">
        <v>49</v>
      </c>
      <c r="B57" s="1">
        <v>19001000</v>
      </c>
      <c r="C57" s="1">
        <v>19093000</v>
      </c>
      <c r="D57" s="1">
        <v>28275000</v>
      </c>
      <c r="E57" s="1">
        <v>20565000</v>
      </c>
      <c r="F57" s="1">
        <v>51237000</v>
      </c>
      <c r="G57" s="1">
        <v>42239000</v>
      </c>
      <c r="H57" s="1">
        <v>37185000</v>
      </c>
      <c r="I57" s="1">
        <v>49723000</v>
      </c>
      <c r="J57" s="1">
        <v>67275000</v>
      </c>
      <c r="K57" s="1">
        <v>115331000</v>
      </c>
      <c r="L57" s="1">
        <v>110951000</v>
      </c>
      <c r="M57" s="1">
        <v>164893000</v>
      </c>
      <c r="N57" s="1">
        <v>198631000</v>
      </c>
    </row>
    <row r="58" spans="1:14"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row>
    <row r="59" spans="1:14" ht="19" x14ac:dyDescent="0.25">
      <c r="A59" s="5" t="s">
        <v>51</v>
      </c>
      <c r="B59" s="1">
        <v>17606000</v>
      </c>
      <c r="C59" s="1">
        <v>17846000</v>
      </c>
      <c r="D59" s="1">
        <v>21109000</v>
      </c>
      <c r="E59" s="1">
        <v>27010000</v>
      </c>
      <c r="F59" s="1">
        <v>22289000</v>
      </c>
      <c r="G59" s="1">
        <v>26584000</v>
      </c>
      <c r="H59" s="1">
        <v>37711000</v>
      </c>
      <c r="I59" s="1">
        <v>54988000</v>
      </c>
      <c r="J59" s="1">
        <v>68641000</v>
      </c>
      <c r="K59" s="1">
        <v>185584000</v>
      </c>
      <c r="L59" s="1">
        <v>177632000</v>
      </c>
      <c r="M59" s="1">
        <v>256461000</v>
      </c>
      <c r="N59" s="1">
        <v>287218000</v>
      </c>
    </row>
    <row r="60" spans="1:14" ht="19" x14ac:dyDescent="0.25">
      <c r="A60" s="6" t="s">
        <v>52</v>
      </c>
      <c r="B60" s="10">
        <v>201659000</v>
      </c>
      <c r="C60" s="10">
        <v>265450000</v>
      </c>
      <c r="D60" s="10">
        <v>271113000</v>
      </c>
      <c r="E60" s="10">
        <v>270896000</v>
      </c>
      <c r="F60" s="10">
        <v>266180000</v>
      </c>
      <c r="G60" s="10">
        <v>252974000</v>
      </c>
      <c r="H60" s="10">
        <v>272259000</v>
      </c>
      <c r="I60" s="10">
        <v>297125000</v>
      </c>
      <c r="J60" s="10">
        <v>376554000</v>
      </c>
      <c r="K60" s="10">
        <v>560986000</v>
      </c>
      <c r="L60" s="10">
        <v>539958000</v>
      </c>
      <c r="M60" s="10">
        <v>894605000</v>
      </c>
      <c r="N60" s="10">
        <v>963713000</v>
      </c>
    </row>
    <row r="61" spans="1:14" ht="19" x14ac:dyDescent="0.25">
      <c r="A61" s="5" t="s">
        <v>53</v>
      </c>
      <c r="B61" s="1">
        <v>145866000</v>
      </c>
      <c r="C61" s="1">
        <v>224440000</v>
      </c>
      <c r="D61" s="1">
        <v>228088000</v>
      </c>
      <c r="E61" s="1">
        <v>160116000</v>
      </c>
      <c r="F61" s="1">
        <v>154243000</v>
      </c>
      <c r="G61" s="1">
        <v>127016000</v>
      </c>
      <c r="H61" s="1">
        <v>75835000</v>
      </c>
      <c r="I61" s="1">
        <v>67874000</v>
      </c>
      <c r="J61" s="1">
        <v>80783000</v>
      </c>
      <c r="K61" s="1">
        <v>533794000</v>
      </c>
      <c r="L61" s="1">
        <v>537506000</v>
      </c>
      <c r="M61" s="1">
        <v>624732000</v>
      </c>
      <c r="N61" s="1">
        <v>718709000</v>
      </c>
    </row>
    <row r="62" spans="1:14" ht="19" x14ac:dyDescent="0.25">
      <c r="A62" s="5" t="s">
        <v>50</v>
      </c>
      <c r="B62" s="1">
        <v>1195000</v>
      </c>
      <c r="C62" s="1">
        <v>1195000</v>
      </c>
      <c r="D62" s="1">
        <v>1528000</v>
      </c>
      <c r="E62" s="1">
        <v>1860000</v>
      </c>
      <c r="F62" s="1">
        <v>3489000</v>
      </c>
      <c r="G62" s="1">
        <v>6222000</v>
      </c>
      <c r="H62" s="1">
        <v>12043000</v>
      </c>
      <c r="I62" s="1">
        <v>12220000</v>
      </c>
      <c r="J62" s="1">
        <v>15885000</v>
      </c>
      <c r="K62" s="1">
        <v>223000</v>
      </c>
      <c r="L62" s="1">
        <v>142000</v>
      </c>
      <c r="M62" s="1">
        <v>163000</v>
      </c>
      <c r="N62" s="1">
        <v>117000</v>
      </c>
    </row>
    <row r="63" spans="1:14" ht="19" x14ac:dyDescent="0.25">
      <c r="A63" s="5" t="s">
        <v>54</v>
      </c>
      <c r="B63" s="1">
        <v>85962000</v>
      </c>
      <c r="C63" s="1">
        <v>88113000</v>
      </c>
      <c r="D63" s="1">
        <v>73475000</v>
      </c>
      <c r="E63" s="1">
        <v>72551000</v>
      </c>
      <c r="F63" s="1">
        <v>74436000</v>
      </c>
      <c r="G63" s="1">
        <v>68753000</v>
      </c>
      <c r="H63" s="1">
        <v>70953000</v>
      </c>
      <c r="I63" s="1">
        <v>68699000</v>
      </c>
      <c r="J63" s="1">
        <v>70106000</v>
      </c>
      <c r="K63" s="1">
        <v>68710000</v>
      </c>
      <c r="L63" s="1">
        <v>6396000</v>
      </c>
      <c r="M63" s="1">
        <v>225621000</v>
      </c>
      <c r="N63" s="1">
        <v>15190000</v>
      </c>
    </row>
    <row r="64" spans="1:14" ht="19" x14ac:dyDescent="0.25">
      <c r="A64" s="5" t="s">
        <v>55</v>
      </c>
      <c r="B64" s="1">
        <v>25657000</v>
      </c>
      <c r="C64" s="1">
        <v>22350000</v>
      </c>
      <c r="D64" s="1">
        <v>22050000</v>
      </c>
      <c r="E64" s="1">
        <v>9617000</v>
      </c>
      <c r="F64" s="1">
        <v>8222000</v>
      </c>
      <c r="G64" s="1">
        <v>10292000</v>
      </c>
      <c r="H64" s="1">
        <v>17138000</v>
      </c>
      <c r="I64" s="1">
        <v>10598000</v>
      </c>
      <c r="J64" s="1">
        <v>13439000</v>
      </c>
      <c r="K64" s="1">
        <v>322667000</v>
      </c>
      <c r="L64" s="1">
        <v>227191000</v>
      </c>
      <c r="M64" s="1">
        <v>236146000</v>
      </c>
      <c r="N64" s="1">
        <v>96818000</v>
      </c>
    </row>
    <row r="65" spans="1:14" ht="19" x14ac:dyDescent="0.25">
      <c r="A65" s="5" t="s">
        <v>56</v>
      </c>
      <c r="B65" s="1">
        <v>258680000</v>
      </c>
      <c r="C65" s="1">
        <v>336098000</v>
      </c>
      <c r="D65" s="1">
        <v>325141000</v>
      </c>
      <c r="E65" s="1">
        <v>244144000</v>
      </c>
      <c r="F65" s="1">
        <v>240390000</v>
      </c>
      <c r="G65" s="1">
        <v>212283000</v>
      </c>
      <c r="H65" s="1">
        <v>175969000</v>
      </c>
      <c r="I65" s="1">
        <v>159391000</v>
      </c>
      <c r="J65" s="1">
        <v>180213000</v>
      </c>
      <c r="K65" s="1">
        <v>698069000</v>
      </c>
      <c r="L65" s="1">
        <v>589517000</v>
      </c>
      <c r="M65" s="1">
        <v>874290000</v>
      </c>
      <c r="N65" s="1">
        <v>773313000</v>
      </c>
    </row>
    <row r="66" spans="1:1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row>
    <row r="67" spans="1:14" ht="19" x14ac:dyDescent="0.25">
      <c r="A67" s="6" t="s">
        <v>58</v>
      </c>
      <c r="B67" s="10">
        <v>460339000</v>
      </c>
      <c r="C67" s="10">
        <v>601548000</v>
      </c>
      <c r="D67" s="10">
        <v>596254000</v>
      </c>
      <c r="E67" s="10">
        <v>515040000</v>
      </c>
      <c r="F67" s="10">
        <v>506570000</v>
      </c>
      <c r="G67" s="10">
        <v>465257000</v>
      </c>
      <c r="H67" s="10">
        <v>448228000</v>
      </c>
      <c r="I67" s="10">
        <v>456516000</v>
      </c>
      <c r="J67" s="10">
        <v>556767000</v>
      </c>
      <c r="K67" s="10">
        <v>1259055000</v>
      </c>
      <c r="L67" s="10">
        <v>1129475000</v>
      </c>
      <c r="M67" s="10">
        <v>1768895000</v>
      </c>
      <c r="N67" s="10">
        <v>1737026000</v>
      </c>
    </row>
    <row r="68" spans="1:14" ht="19" x14ac:dyDescent="0.25">
      <c r="A68" s="5" t="s">
        <v>59</v>
      </c>
      <c r="B68" s="1">
        <v>1000000</v>
      </c>
      <c r="C68" s="1">
        <v>50000000</v>
      </c>
      <c r="D68" s="1">
        <v>50000000</v>
      </c>
      <c r="E68" s="1">
        <v>50000000</v>
      </c>
      <c r="F68" s="1">
        <v>50000000</v>
      </c>
      <c r="G68" s="1">
        <v>50025000</v>
      </c>
      <c r="H68" s="1">
        <v>50043000</v>
      </c>
      <c r="I68" s="1">
        <v>50956000</v>
      </c>
      <c r="J68" s="1">
        <v>51164000</v>
      </c>
      <c r="K68" s="1">
        <v>51596000</v>
      </c>
      <c r="L68" s="1">
        <v>51671000</v>
      </c>
      <c r="M68" s="1">
        <v>54737000</v>
      </c>
      <c r="N68" s="1">
        <v>54737000</v>
      </c>
    </row>
    <row r="69" spans="1:14" ht="19" x14ac:dyDescent="0.25">
      <c r="A69" s="5" t="s">
        <v>60</v>
      </c>
      <c r="B69" s="1">
        <v>49701000</v>
      </c>
      <c r="C69" s="1">
        <v>55032000</v>
      </c>
      <c r="D69" s="1">
        <v>28844000</v>
      </c>
      <c r="E69" s="1">
        <v>76072000</v>
      </c>
      <c r="F69" s="1">
        <v>130338000</v>
      </c>
      <c r="G69" s="1">
        <v>167863000</v>
      </c>
      <c r="H69" s="1">
        <v>196043000</v>
      </c>
      <c r="I69" s="1">
        <v>249688000</v>
      </c>
      <c r="J69" s="1">
        <v>332395000</v>
      </c>
      <c r="K69" s="1">
        <v>358685000</v>
      </c>
      <c r="L69" s="1">
        <v>300351000</v>
      </c>
      <c r="M69" s="1">
        <v>393533000</v>
      </c>
      <c r="N69" s="1">
        <v>606697000</v>
      </c>
    </row>
    <row r="70" spans="1:14"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row>
    <row r="71" spans="1:14" ht="19" x14ac:dyDescent="0.25">
      <c r="A71" s="5" t="s">
        <v>62</v>
      </c>
      <c r="B71" s="1">
        <v>265251000</v>
      </c>
      <c r="C71" s="1">
        <v>120439000</v>
      </c>
      <c r="D71" s="1">
        <v>159662000</v>
      </c>
      <c r="E71" s="1">
        <v>181423000</v>
      </c>
      <c r="F71" s="1">
        <v>239165000</v>
      </c>
      <c r="G71" s="1">
        <v>328270000</v>
      </c>
      <c r="H71" s="1">
        <v>457366000</v>
      </c>
      <c r="I71" s="1">
        <v>622779000</v>
      </c>
      <c r="J71" s="1">
        <v>685248000</v>
      </c>
      <c r="K71" s="1">
        <v>896007000</v>
      </c>
      <c r="L71" s="1">
        <v>1275026000</v>
      </c>
      <c r="M71" s="1">
        <v>2050716000</v>
      </c>
      <c r="N71" s="1">
        <v>2240736000</v>
      </c>
    </row>
    <row r="72" spans="1:14" ht="19" x14ac:dyDescent="0.25">
      <c r="A72" s="6" t="s">
        <v>63</v>
      </c>
      <c r="B72" s="10">
        <v>315952000</v>
      </c>
      <c r="C72" s="10">
        <v>225471000</v>
      </c>
      <c r="D72" s="10">
        <v>238506000</v>
      </c>
      <c r="E72" s="10">
        <v>307495000</v>
      </c>
      <c r="F72" s="10">
        <v>419503000</v>
      </c>
      <c r="G72" s="10">
        <v>546158000</v>
      </c>
      <c r="H72" s="10">
        <v>703452000</v>
      </c>
      <c r="I72" s="10">
        <v>923423000</v>
      </c>
      <c r="J72" s="10">
        <v>1068807000</v>
      </c>
      <c r="K72" s="10">
        <v>1306288000</v>
      </c>
      <c r="L72" s="10">
        <v>1627048000</v>
      </c>
      <c r="M72" s="10">
        <v>2498986000</v>
      </c>
      <c r="N72" s="10">
        <v>2902170000</v>
      </c>
    </row>
    <row r="73" spans="1:14" ht="20" thickBot="1" x14ac:dyDescent="0.3">
      <c r="A73" s="7" t="s">
        <v>64</v>
      </c>
      <c r="B73" s="11">
        <v>776291000</v>
      </c>
      <c r="C73" s="11">
        <v>827019000</v>
      </c>
      <c r="D73" s="11">
        <v>834760000</v>
      </c>
      <c r="E73" s="11">
        <v>822535000</v>
      </c>
      <c r="F73" s="11">
        <v>926073000</v>
      </c>
      <c r="G73" s="11">
        <v>1011415000</v>
      </c>
      <c r="H73" s="11">
        <v>1151680000</v>
      </c>
      <c r="I73" s="11">
        <v>1379939000</v>
      </c>
      <c r="J73" s="11">
        <v>1625574000</v>
      </c>
      <c r="K73" s="11">
        <v>2565423000</v>
      </c>
      <c r="L73" s="11">
        <v>2756612000</v>
      </c>
      <c r="M73" s="11">
        <v>4267881000</v>
      </c>
      <c r="N73" s="11">
        <v>4639312000</v>
      </c>
    </row>
    <row r="74" spans="1:1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row>
    <row r="75" spans="1:1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row>
    <row r="76" spans="1:14" ht="19" x14ac:dyDescent="0.25">
      <c r="A76" s="5" t="s">
        <v>66</v>
      </c>
      <c r="B76" s="1">
        <v>49701000</v>
      </c>
      <c r="C76" s="1">
        <v>55032000</v>
      </c>
      <c r="D76" s="1">
        <v>28844000</v>
      </c>
      <c r="E76" s="1">
        <v>76072000</v>
      </c>
      <c r="F76" s="1">
        <v>130338000</v>
      </c>
      <c r="G76" s="1">
        <v>167863000</v>
      </c>
      <c r="H76" s="1">
        <v>196601000</v>
      </c>
      <c r="I76" s="1">
        <v>249688000</v>
      </c>
      <c r="J76" s="1">
        <v>332395000</v>
      </c>
      <c r="K76" s="1">
        <v>358695000</v>
      </c>
      <c r="L76" s="1">
        <v>300366000</v>
      </c>
      <c r="M76" s="1">
        <v>393533000</v>
      </c>
      <c r="N76" s="1">
        <v>606706000</v>
      </c>
    </row>
    <row r="77" spans="1:14" ht="19" x14ac:dyDescent="0.25">
      <c r="A77" s="5" t="s">
        <v>13</v>
      </c>
      <c r="B77" s="1">
        <v>10215000</v>
      </c>
      <c r="C77" s="1">
        <v>15527000</v>
      </c>
      <c r="D77" s="1">
        <v>21126000</v>
      </c>
      <c r="E77" s="1">
        <v>19185000</v>
      </c>
      <c r="F77" s="1">
        <v>26276000</v>
      </c>
      <c r="G77" s="1">
        <v>35959000</v>
      </c>
      <c r="H77" s="1">
        <v>41635000</v>
      </c>
      <c r="I77" s="1">
        <v>47273000</v>
      </c>
      <c r="J77" s="1">
        <v>56499000</v>
      </c>
      <c r="K77" s="1">
        <v>171123000</v>
      </c>
      <c r="L77" s="1">
        <v>200976000</v>
      </c>
      <c r="M77" s="1">
        <v>246519000</v>
      </c>
      <c r="N77" s="1">
        <v>264917000</v>
      </c>
    </row>
    <row r="78" spans="1:14"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row>
    <row r="79" spans="1:14" ht="19" x14ac:dyDescent="0.25">
      <c r="A79" s="5" t="s">
        <v>68</v>
      </c>
      <c r="B79" s="1" t="s">
        <v>92</v>
      </c>
      <c r="C79" s="1" t="s">
        <v>92</v>
      </c>
      <c r="D79" s="1" t="s">
        <v>92</v>
      </c>
      <c r="E79" s="1" t="s">
        <v>92</v>
      </c>
      <c r="F79" s="1" t="s">
        <v>92</v>
      </c>
      <c r="G79" s="1" t="s">
        <v>92</v>
      </c>
      <c r="H79" s="1" t="s">
        <v>92</v>
      </c>
      <c r="I79" s="1" t="s">
        <v>92</v>
      </c>
      <c r="J79" s="1" t="s">
        <v>92</v>
      </c>
      <c r="K79" s="1">
        <v>29147000</v>
      </c>
      <c r="L79" s="1">
        <v>30927000</v>
      </c>
      <c r="M79" s="1">
        <v>28432000</v>
      </c>
      <c r="N79" s="1">
        <v>36923000</v>
      </c>
    </row>
    <row r="80" spans="1:14" ht="19" x14ac:dyDescent="0.25">
      <c r="A80" s="14" t="s">
        <v>104</v>
      </c>
      <c r="B80" s="15" t="e">
        <f t="shared" ref="B80:N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1.7906818438733332E-2</v>
      </c>
      <c r="L80" s="15">
        <f t="shared" si="6"/>
        <v>2.1470984977183565E-2</v>
      </c>
      <c r="M80" s="15">
        <f t="shared" si="6"/>
        <v>1.3895683648379382E-2</v>
      </c>
      <c r="N80" s="15">
        <f t="shared" si="6"/>
        <v>1.4185386243752138E-2</v>
      </c>
    </row>
    <row r="81" spans="1:22" ht="19" x14ac:dyDescent="0.25">
      <c r="A81" s="5" t="s">
        <v>69</v>
      </c>
      <c r="B81" s="1">
        <v>-7857000</v>
      </c>
      <c r="C81" s="1">
        <v>-7259000</v>
      </c>
      <c r="D81" s="1">
        <v>-17737000</v>
      </c>
      <c r="E81" s="1">
        <v>-15569000</v>
      </c>
      <c r="F81" s="1">
        <v>-47514000</v>
      </c>
      <c r="G81" s="1">
        <v>4898000</v>
      </c>
      <c r="H81" s="1">
        <v>31928000</v>
      </c>
      <c r="I81" s="1">
        <v>28153000</v>
      </c>
      <c r="J81" s="1">
        <v>12365000</v>
      </c>
      <c r="K81" s="1">
        <v>-16733000</v>
      </c>
      <c r="L81" s="1">
        <v>-56543000</v>
      </c>
      <c r="M81" s="1">
        <v>156173000</v>
      </c>
      <c r="N81" s="1">
        <v>-67035000</v>
      </c>
    </row>
    <row r="82" spans="1:2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row>
    <row r="83" spans="1:22" ht="21" x14ac:dyDescent="0.25">
      <c r="A83" s="5" t="s">
        <v>34</v>
      </c>
      <c r="B83" s="1">
        <v>-21899000</v>
      </c>
      <c r="C83" s="1">
        <v>-11844000</v>
      </c>
      <c r="D83" s="1">
        <v>-1456000</v>
      </c>
      <c r="E83" s="1">
        <v>-17360000</v>
      </c>
      <c r="F83" s="1">
        <v>-45597000</v>
      </c>
      <c r="G83" s="1">
        <v>-14859000</v>
      </c>
      <c r="H83" s="1">
        <v>-1188000</v>
      </c>
      <c r="I83" s="1">
        <v>-3026000</v>
      </c>
      <c r="J83" s="1">
        <v>-34774000</v>
      </c>
      <c r="K83" s="1">
        <v>-36335000</v>
      </c>
      <c r="L83" s="1">
        <v>2764000</v>
      </c>
      <c r="M83" s="1">
        <v>-20557000</v>
      </c>
      <c r="N83" s="1">
        <v>-120225000</v>
      </c>
      <c r="U83" s="61" t="s">
        <v>126</v>
      </c>
      <c r="V83" s="62"/>
    </row>
    <row r="84" spans="1:2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U84" s="63" t="s">
        <v>127</v>
      </c>
      <c r="V84" s="64"/>
    </row>
    <row r="85" spans="1:22" ht="20" x14ac:dyDescent="0.25">
      <c r="A85" s="5" t="s">
        <v>71</v>
      </c>
      <c r="B85" s="1" t="s">
        <v>92</v>
      </c>
      <c r="C85" s="1" t="s">
        <v>92</v>
      </c>
      <c r="D85" s="1" t="s">
        <v>92</v>
      </c>
      <c r="E85" s="1" t="s">
        <v>92</v>
      </c>
      <c r="F85" s="1" t="s">
        <v>92</v>
      </c>
      <c r="G85" s="1" t="s">
        <v>92</v>
      </c>
      <c r="H85" s="1" t="s">
        <v>92</v>
      </c>
      <c r="I85" s="1" t="s">
        <v>92</v>
      </c>
      <c r="J85" s="1" t="s">
        <v>92</v>
      </c>
      <c r="K85" s="1">
        <v>19602000</v>
      </c>
      <c r="L85" s="1">
        <v>-59307000</v>
      </c>
      <c r="M85" s="1">
        <v>176730000</v>
      </c>
      <c r="N85" s="1">
        <v>53190000</v>
      </c>
      <c r="U85" s="23" t="s">
        <v>128</v>
      </c>
      <c r="V85" s="24">
        <f>N17</f>
        <v>26273000</v>
      </c>
    </row>
    <row r="86" spans="1:22" ht="20" x14ac:dyDescent="0.25">
      <c r="A86" s="5" t="s">
        <v>72</v>
      </c>
      <c r="B86" s="1">
        <v>10050000</v>
      </c>
      <c r="C86" s="1">
        <v>-4561000</v>
      </c>
      <c r="D86" s="1">
        <v>56319000</v>
      </c>
      <c r="E86" s="1">
        <v>10726000</v>
      </c>
      <c r="F86" s="1">
        <v>32595000</v>
      </c>
      <c r="G86" s="1">
        <v>-26833000</v>
      </c>
      <c r="H86" s="1">
        <v>7287000</v>
      </c>
      <c r="I86" s="1">
        <v>-11002000</v>
      </c>
      <c r="J86" s="1">
        <v>64572000</v>
      </c>
      <c r="K86" s="1">
        <v>46323000</v>
      </c>
      <c r="L86" s="1">
        <v>-69276000</v>
      </c>
      <c r="M86" s="1">
        <v>40657000</v>
      </c>
      <c r="N86" s="1">
        <v>-178934000</v>
      </c>
      <c r="U86" s="23" t="s">
        <v>129</v>
      </c>
      <c r="V86" s="24">
        <f>N56</f>
        <v>194070000</v>
      </c>
    </row>
    <row r="87" spans="1:22" ht="20" x14ac:dyDescent="0.25">
      <c r="A87" s="6" t="s">
        <v>73</v>
      </c>
      <c r="B87" s="10">
        <v>62109000</v>
      </c>
      <c r="C87" s="10">
        <v>58739000</v>
      </c>
      <c r="D87" s="10">
        <v>88552000</v>
      </c>
      <c r="E87" s="10">
        <v>90414000</v>
      </c>
      <c r="F87" s="10">
        <v>141695000</v>
      </c>
      <c r="G87" s="10">
        <v>181887000</v>
      </c>
      <c r="H87" s="10">
        <v>277451000</v>
      </c>
      <c r="I87" s="10">
        <v>314112000</v>
      </c>
      <c r="J87" s="10">
        <v>465831000</v>
      </c>
      <c r="K87" s="10">
        <v>588555000</v>
      </c>
      <c r="L87" s="10">
        <v>406450000</v>
      </c>
      <c r="M87" s="10">
        <v>865314000</v>
      </c>
      <c r="N87" s="10">
        <v>662577000</v>
      </c>
      <c r="U87" s="23" t="s">
        <v>130</v>
      </c>
      <c r="V87" s="24">
        <f>N61</f>
        <v>718709000</v>
      </c>
    </row>
    <row r="88" spans="1:22" ht="20" x14ac:dyDescent="0.25">
      <c r="A88" s="5" t="s">
        <v>74</v>
      </c>
      <c r="B88" s="1">
        <v>-24917000</v>
      </c>
      <c r="C88" s="1">
        <v>-38360000</v>
      </c>
      <c r="D88" s="1">
        <v>-28984000</v>
      </c>
      <c r="E88" s="1">
        <v>-34346000</v>
      </c>
      <c r="F88" s="1">
        <v>-50216000</v>
      </c>
      <c r="G88" s="1">
        <v>-67657000</v>
      </c>
      <c r="H88" s="1">
        <v>-63301000</v>
      </c>
      <c r="I88" s="1">
        <v>-73479000</v>
      </c>
      <c r="J88" s="1">
        <v>-91887000</v>
      </c>
      <c r="K88" s="1">
        <v>-123660000</v>
      </c>
      <c r="L88" s="1">
        <v>-92561000</v>
      </c>
      <c r="M88" s="1">
        <v>-131828000</v>
      </c>
      <c r="N88" s="1">
        <v>-169853000</v>
      </c>
      <c r="U88" s="33" t="s">
        <v>131</v>
      </c>
      <c r="V88" s="34">
        <f>V85/(V86+V87)</f>
        <v>2.8783528104831511E-2</v>
      </c>
    </row>
    <row r="89" spans="1:22" ht="20" customHeight="1" x14ac:dyDescent="0.25">
      <c r="A89" s="14" t="s">
        <v>105</v>
      </c>
      <c r="B89" s="15">
        <f t="shared" ref="B89:N89" si="7">(-1*B88)/B3</f>
        <v>5.8117756272551911E-2</v>
      </c>
      <c r="C89" s="15">
        <f t="shared" si="7"/>
        <v>7.4722808767268445E-2</v>
      </c>
      <c r="D89" s="15">
        <f t="shared" si="7"/>
        <v>4.6464652941874296E-2</v>
      </c>
      <c r="E89" s="15">
        <f t="shared" si="7"/>
        <v>5.9158388981995498E-2</v>
      </c>
      <c r="F89" s="15">
        <f t="shared" si="7"/>
        <v>7.2337648680690703E-2</v>
      </c>
      <c r="G89" s="15">
        <f t="shared" si="7"/>
        <v>7.6848634643846558E-2</v>
      </c>
      <c r="H89" s="15">
        <f t="shared" si="7"/>
        <v>6.0848150216617915E-2</v>
      </c>
      <c r="I89" s="15">
        <f t="shared" si="7"/>
        <v>6.1555460985302887E-2</v>
      </c>
      <c r="J89" s="15">
        <f t="shared" si="7"/>
        <v>6.4705782938072248E-2</v>
      </c>
      <c r="K89" s="15">
        <f t="shared" si="7"/>
        <v>7.597204405715044E-2</v>
      </c>
      <c r="L89" s="15">
        <f t="shared" si="7"/>
        <v>6.4260220534584273E-2</v>
      </c>
      <c r="M89" s="15">
        <f t="shared" si="7"/>
        <v>6.4428819077045479E-2</v>
      </c>
      <c r="N89" s="15">
        <f t="shared" si="7"/>
        <v>6.5255542877340186E-2</v>
      </c>
      <c r="U89" s="23" t="s">
        <v>106</v>
      </c>
      <c r="V89" s="24">
        <f>N27</f>
        <v>140625000</v>
      </c>
    </row>
    <row r="90" spans="1:22" ht="20" x14ac:dyDescent="0.25">
      <c r="A90" s="5" t="s">
        <v>75</v>
      </c>
      <c r="B90" s="1" t="s">
        <v>92</v>
      </c>
      <c r="C90" s="1" t="s">
        <v>92</v>
      </c>
      <c r="D90" s="1" t="s">
        <v>92</v>
      </c>
      <c r="E90" s="1" t="s">
        <v>92</v>
      </c>
      <c r="F90" s="1" t="s">
        <v>92</v>
      </c>
      <c r="G90" s="1" t="s">
        <v>92</v>
      </c>
      <c r="H90" s="1" t="s">
        <v>92</v>
      </c>
      <c r="I90" s="1" t="s">
        <v>92</v>
      </c>
      <c r="J90" s="1" t="s">
        <v>92</v>
      </c>
      <c r="K90" s="1" t="s">
        <v>92</v>
      </c>
      <c r="L90" s="1" t="s">
        <v>92</v>
      </c>
      <c r="M90" s="1">
        <v>-496728000</v>
      </c>
      <c r="N90" s="1" t="s">
        <v>92</v>
      </c>
      <c r="U90" s="23" t="s">
        <v>19</v>
      </c>
      <c r="V90" s="24">
        <f>N25</f>
        <v>747331000</v>
      </c>
    </row>
    <row r="91" spans="1:22"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U91" s="33" t="s">
        <v>132</v>
      </c>
      <c r="V91" s="34">
        <f>V89/V90</f>
        <v>0.18816963300063827</v>
      </c>
    </row>
    <row r="92" spans="1:22"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U92" s="35" t="s">
        <v>133</v>
      </c>
      <c r="V92" s="36">
        <f>V88*(1-V91)</f>
        <v>2.3367342184881807E-2</v>
      </c>
    </row>
    <row r="93" spans="1:22" ht="19" x14ac:dyDescent="0.25">
      <c r="A93" s="5" t="s">
        <v>78</v>
      </c>
      <c r="B93" s="1">
        <v>261000</v>
      </c>
      <c r="C93" s="1">
        <v>484000</v>
      </c>
      <c r="D93" s="1">
        <v>430000</v>
      </c>
      <c r="E93" s="1">
        <v>9104000</v>
      </c>
      <c r="F93" s="1">
        <v>659000</v>
      </c>
      <c r="G93" s="1">
        <v>1470000</v>
      </c>
      <c r="H93" s="1">
        <v>1011000</v>
      </c>
      <c r="I93" s="1">
        <v>981000</v>
      </c>
      <c r="J93" s="1">
        <v>385000</v>
      </c>
      <c r="K93" s="1">
        <v>2812000</v>
      </c>
      <c r="L93" s="1">
        <v>2192000</v>
      </c>
      <c r="M93" s="1">
        <v>7147000</v>
      </c>
      <c r="N93" s="1">
        <v>2754000</v>
      </c>
      <c r="U93" s="65" t="s">
        <v>134</v>
      </c>
      <c r="V93" s="66"/>
    </row>
    <row r="94" spans="1:22" ht="20" x14ac:dyDescent="0.25">
      <c r="A94" s="6" t="s">
        <v>79</v>
      </c>
      <c r="B94" s="10">
        <v>-24656000</v>
      </c>
      <c r="C94" s="10">
        <v>-37876000</v>
      </c>
      <c r="D94" s="10">
        <v>-28554000</v>
      </c>
      <c r="E94" s="10">
        <v>-25242000</v>
      </c>
      <c r="F94" s="10">
        <v>-49557000</v>
      </c>
      <c r="G94" s="10">
        <v>-66187000</v>
      </c>
      <c r="H94" s="10">
        <v>-62290000</v>
      </c>
      <c r="I94" s="10">
        <v>-72498000</v>
      </c>
      <c r="J94" s="10">
        <v>-91502000</v>
      </c>
      <c r="K94" s="10">
        <v>-120848000</v>
      </c>
      <c r="L94" s="10">
        <v>-90369000</v>
      </c>
      <c r="M94" s="10">
        <v>-621409000</v>
      </c>
      <c r="N94" s="10">
        <v>-167099000</v>
      </c>
      <c r="U94" s="23" t="s">
        <v>135</v>
      </c>
      <c r="V94" s="37">
        <v>4.095E-2</v>
      </c>
    </row>
    <row r="95" spans="1:22" ht="20" x14ac:dyDescent="0.25">
      <c r="A95" s="5" t="s">
        <v>80</v>
      </c>
      <c r="B95" s="1">
        <v>-22840000</v>
      </c>
      <c r="C95" s="1">
        <v>-138196000</v>
      </c>
      <c r="D95" s="1">
        <v>-48271000</v>
      </c>
      <c r="E95" s="1">
        <v>-208832000</v>
      </c>
      <c r="F95" s="1">
        <v>-171736000</v>
      </c>
      <c r="G95" s="1">
        <v>-69653000</v>
      </c>
      <c r="H95" s="1">
        <v>-68592000</v>
      </c>
      <c r="I95" s="1">
        <v>-62068000</v>
      </c>
      <c r="J95" s="1">
        <v>-2198000</v>
      </c>
      <c r="K95" s="1" t="s">
        <v>92</v>
      </c>
      <c r="L95" s="1" t="s">
        <v>92</v>
      </c>
      <c r="M95" s="1">
        <v>-32643000</v>
      </c>
      <c r="N95" s="1">
        <v>-11803000</v>
      </c>
      <c r="U95" s="23" t="s">
        <v>136</v>
      </c>
      <c r="V95" s="38" cm="1">
        <f t="array" ref="V95">_FV(A1,"Beta")</f>
        <v>0.78029999999999999</v>
      </c>
    </row>
    <row r="96" spans="1:22" ht="20" x14ac:dyDescent="0.25">
      <c r="A96" s="5" t="s">
        <v>81</v>
      </c>
      <c r="B96" s="1" t="s">
        <v>92</v>
      </c>
      <c r="C96" s="1" t="s">
        <v>92</v>
      </c>
      <c r="D96" s="1" t="s">
        <v>92</v>
      </c>
      <c r="E96" s="1" t="s">
        <v>92</v>
      </c>
      <c r="F96" s="1" t="s">
        <v>92</v>
      </c>
      <c r="G96" s="1">
        <v>1269000</v>
      </c>
      <c r="H96" s="1">
        <v>921000</v>
      </c>
      <c r="I96" s="1">
        <v>46553000</v>
      </c>
      <c r="J96" s="1">
        <v>16975000</v>
      </c>
      <c r="K96" s="1">
        <v>686000</v>
      </c>
      <c r="L96" s="1">
        <v>1116000</v>
      </c>
      <c r="M96" s="1" t="s">
        <v>92</v>
      </c>
      <c r="N96" s="1" t="s">
        <v>92</v>
      </c>
      <c r="U96" s="23" t="s">
        <v>137</v>
      </c>
      <c r="V96" s="37">
        <v>8.4000000000000005E-2</v>
      </c>
    </row>
    <row r="97" spans="1:22" ht="20" x14ac:dyDescent="0.25">
      <c r="A97" s="5" t="s">
        <v>82</v>
      </c>
      <c r="B97" s="1" t="s">
        <v>92</v>
      </c>
      <c r="C97" s="1" t="s">
        <v>92</v>
      </c>
      <c r="D97" s="1" t="s">
        <v>92</v>
      </c>
      <c r="E97" s="1" t="s">
        <v>92</v>
      </c>
      <c r="F97" s="1" t="s">
        <v>92</v>
      </c>
      <c r="G97" s="1" t="s">
        <v>92</v>
      </c>
      <c r="H97" s="1">
        <v>-12801000</v>
      </c>
      <c r="I97" s="1">
        <v>-21329000</v>
      </c>
      <c r="J97" s="1">
        <v>-148573000</v>
      </c>
      <c r="K97" s="1">
        <v>-15102000</v>
      </c>
      <c r="L97" s="1" t="s">
        <v>92</v>
      </c>
      <c r="M97" s="1">
        <v>-721000</v>
      </c>
      <c r="N97" s="1">
        <v>-48352000</v>
      </c>
      <c r="U97" s="35" t="s">
        <v>138</v>
      </c>
      <c r="V97" s="36">
        <f>(V94)+((V95)*(V96-V94))</f>
        <v>7.4541915000000014E-2</v>
      </c>
    </row>
    <row r="98" spans="1:22" ht="19" x14ac:dyDescent="0.25">
      <c r="A98" s="5" t="s">
        <v>83</v>
      </c>
      <c r="B98" s="1">
        <v>-30200000</v>
      </c>
      <c r="C98" s="1">
        <v>-150000000</v>
      </c>
      <c r="D98" s="1" t="s">
        <v>92</v>
      </c>
      <c r="E98" s="1" t="s">
        <v>92</v>
      </c>
      <c r="F98" s="1">
        <v>-25000000</v>
      </c>
      <c r="G98" s="1">
        <v>-30014000</v>
      </c>
      <c r="H98" s="1">
        <v>-34883000</v>
      </c>
      <c r="I98" s="1">
        <v>-45491000</v>
      </c>
      <c r="J98" s="1">
        <v>-70464000</v>
      </c>
      <c r="K98" s="1">
        <v>-100850000</v>
      </c>
      <c r="L98" s="1" t="s">
        <v>92</v>
      </c>
      <c r="M98" s="1">
        <v>-120679000</v>
      </c>
      <c r="N98" s="1">
        <v>-160960000</v>
      </c>
      <c r="U98" s="65" t="s">
        <v>139</v>
      </c>
      <c r="V98" s="66"/>
    </row>
    <row r="99" spans="1:22" ht="20" x14ac:dyDescent="0.25">
      <c r="A99" s="5" t="s">
        <v>84</v>
      </c>
      <c r="B99" s="1">
        <v>-139000</v>
      </c>
      <c r="C99" s="1">
        <v>259326000</v>
      </c>
      <c r="D99" s="1">
        <v>31350000</v>
      </c>
      <c r="E99" s="1">
        <v>159823000</v>
      </c>
      <c r="F99" s="1">
        <v>127722000</v>
      </c>
      <c r="G99" s="1">
        <v>10169000</v>
      </c>
      <c r="H99" s="1">
        <v>-2425000</v>
      </c>
      <c r="I99" s="1">
        <v>-665000</v>
      </c>
      <c r="J99" s="1">
        <v>-15340000</v>
      </c>
      <c r="K99" s="1">
        <v>-128535000</v>
      </c>
      <c r="L99" s="1">
        <v>-152658000</v>
      </c>
      <c r="M99" s="1">
        <v>-191137000</v>
      </c>
      <c r="N99" s="1">
        <v>-170138000</v>
      </c>
      <c r="U99" s="23" t="s">
        <v>140</v>
      </c>
      <c r="V99" s="24">
        <f>V86+V87</f>
        <v>912779000</v>
      </c>
    </row>
    <row r="100" spans="1:22" ht="20" x14ac:dyDescent="0.25">
      <c r="A100" s="6" t="s">
        <v>85</v>
      </c>
      <c r="B100" s="10">
        <v>-53179000</v>
      </c>
      <c r="C100" s="10">
        <v>-28870000</v>
      </c>
      <c r="D100" s="10">
        <v>-16921000</v>
      </c>
      <c r="E100" s="10">
        <v>-49009000</v>
      </c>
      <c r="F100" s="10">
        <v>-69014000</v>
      </c>
      <c r="G100" s="10">
        <v>-88229000</v>
      </c>
      <c r="H100" s="10">
        <v>-117780000</v>
      </c>
      <c r="I100" s="10">
        <v>-83000000</v>
      </c>
      <c r="J100" s="10">
        <v>-219600000</v>
      </c>
      <c r="K100" s="10">
        <v>-243801000</v>
      </c>
      <c r="L100" s="10">
        <v>-151542000</v>
      </c>
      <c r="M100" s="10">
        <v>-345180000</v>
      </c>
      <c r="N100" s="10">
        <v>-391253000</v>
      </c>
      <c r="U100" s="33" t="s">
        <v>141</v>
      </c>
      <c r="V100" s="34">
        <f>V99/V103</f>
        <v>4.9723407184206203E-2</v>
      </c>
    </row>
    <row r="101" spans="1:22" ht="20" x14ac:dyDescent="0.25">
      <c r="A101" s="5" t="s">
        <v>86</v>
      </c>
      <c r="B101" s="1" t="s">
        <v>92</v>
      </c>
      <c r="C101" s="1" t="s">
        <v>92</v>
      </c>
      <c r="D101" s="1" t="s">
        <v>92</v>
      </c>
      <c r="E101" s="1" t="s">
        <v>92</v>
      </c>
      <c r="F101" s="1" t="s">
        <v>92</v>
      </c>
      <c r="G101" s="1">
        <v>-3790000</v>
      </c>
      <c r="H101" s="1">
        <v>-77000</v>
      </c>
      <c r="I101" s="1">
        <v>-7855000</v>
      </c>
      <c r="J101" s="1">
        <v>-2605000</v>
      </c>
      <c r="K101" s="1">
        <v>-11104000</v>
      </c>
      <c r="L101" s="1">
        <v>-126000</v>
      </c>
      <c r="M101" s="1">
        <v>-19493000</v>
      </c>
      <c r="N101" s="1">
        <v>-24686000</v>
      </c>
      <c r="U101" s="23" t="s">
        <v>142</v>
      </c>
      <c r="V101" s="39" cm="1">
        <f t="array" ref="V101">_FV(A1,"Market cap",TRUE)</f>
        <v>17444350000</v>
      </c>
    </row>
    <row r="102" spans="1:22" ht="20" x14ac:dyDescent="0.25">
      <c r="A102" s="6" t="s">
        <v>87</v>
      </c>
      <c r="B102" s="10">
        <v>-15725000</v>
      </c>
      <c r="C102" s="10">
        <v>-8007000</v>
      </c>
      <c r="D102" s="10">
        <v>43077000</v>
      </c>
      <c r="E102" s="10">
        <v>16163000</v>
      </c>
      <c r="F102" s="10">
        <v>23124000</v>
      </c>
      <c r="G102" s="10">
        <v>23681000</v>
      </c>
      <c r="H102" s="10">
        <v>97304000</v>
      </c>
      <c r="I102" s="10">
        <v>150759000</v>
      </c>
      <c r="J102" s="10">
        <v>152124000</v>
      </c>
      <c r="K102" s="10">
        <v>212802000</v>
      </c>
      <c r="L102" s="10">
        <v>164413000</v>
      </c>
      <c r="M102" s="10">
        <v>-120768000</v>
      </c>
      <c r="N102" s="10">
        <v>79539000</v>
      </c>
      <c r="U102" s="33" t="s">
        <v>143</v>
      </c>
      <c r="V102" s="34">
        <f>V101/V103</f>
        <v>0.9502765928157938</v>
      </c>
    </row>
    <row r="103" spans="1:22" ht="20" x14ac:dyDescent="0.25">
      <c r="A103" s="5" t="s">
        <v>88</v>
      </c>
      <c r="B103" s="1">
        <v>63768000</v>
      </c>
      <c r="C103" s="1">
        <v>48043000</v>
      </c>
      <c r="D103" s="1">
        <v>40036000</v>
      </c>
      <c r="E103" s="1">
        <v>83113000</v>
      </c>
      <c r="F103" s="1">
        <v>99276000</v>
      </c>
      <c r="G103" s="1">
        <v>122400000</v>
      </c>
      <c r="H103" s="1">
        <v>146081000</v>
      </c>
      <c r="I103" s="1">
        <v>243385000</v>
      </c>
      <c r="J103" s="1">
        <v>394144000</v>
      </c>
      <c r="K103" s="1">
        <v>546268000</v>
      </c>
      <c r="L103" s="1">
        <v>759070000</v>
      </c>
      <c r="M103" s="1">
        <v>923483000</v>
      </c>
      <c r="N103" s="1">
        <v>802715000</v>
      </c>
      <c r="U103" s="35" t="s">
        <v>144</v>
      </c>
      <c r="V103" s="40">
        <f>V99+V101</f>
        <v>18357129000</v>
      </c>
    </row>
    <row r="104" spans="1:22" ht="20" thickBot="1" x14ac:dyDescent="0.3">
      <c r="A104" s="7" t="s">
        <v>89</v>
      </c>
      <c r="B104" s="11">
        <v>48043000</v>
      </c>
      <c r="C104" s="11">
        <v>40036000</v>
      </c>
      <c r="D104" s="11">
        <v>83113000</v>
      </c>
      <c r="E104" s="11">
        <v>99276000</v>
      </c>
      <c r="F104" s="11">
        <v>122400000</v>
      </c>
      <c r="G104" s="11">
        <v>146081000</v>
      </c>
      <c r="H104" s="11">
        <v>243385000</v>
      </c>
      <c r="I104" s="11">
        <v>394144000</v>
      </c>
      <c r="J104" s="11">
        <v>546268000</v>
      </c>
      <c r="K104" s="11">
        <v>759070000</v>
      </c>
      <c r="L104" s="11">
        <v>923483000</v>
      </c>
      <c r="M104" s="11">
        <v>802715000</v>
      </c>
      <c r="N104" s="11">
        <v>882254000</v>
      </c>
      <c r="U104" s="63" t="s">
        <v>145</v>
      </c>
      <c r="V104" s="64"/>
    </row>
    <row r="105" spans="1:22" ht="21" thickTop="1" x14ac:dyDescent="0.25">
      <c r="A105" s="14" t="s">
        <v>107</v>
      </c>
      <c r="B105" s="1"/>
      <c r="C105" s="15">
        <f>(C106/B106)-1</f>
        <v>-0.45205958270595825</v>
      </c>
      <c r="D105" s="15">
        <f>(D106/C106)-1</f>
        <v>1.9230089798321801</v>
      </c>
      <c r="E105" s="15">
        <f>(E106/D106)-1</f>
        <v>-5.8756379264034431E-2</v>
      </c>
      <c r="F105" s="15">
        <f>(F106/E106)-1</f>
        <v>0.63157237640008557</v>
      </c>
      <c r="G105" s="15">
        <f>(G106/F106)-1</f>
        <v>0.24870188786497449</v>
      </c>
      <c r="H105" s="15">
        <f t="shared" ref="H105:N105" si="8">(H106/G106)-1</f>
        <v>0.87472642913420295</v>
      </c>
      <c r="I105" s="15">
        <f t="shared" si="8"/>
        <v>0.12366565491477943</v>
      </c>
      <c r="J105" s="15">
        <f t="shared" si="8"/>
        <v>0.55400132151450543</v>
      </c>
      <c r="K105" s="15">
        <f t="shared" si="8"/>
        <v>0.24322091008279312</v>
      </c>
      <c r="L105" s="15">
        <f t="shared" si="8"/>
        <v>-0.32481743189322321</v>
      </c>
      <c r="M105" s="15">
        <f t="shared" si="8"/>
        <v>1.3367687303473521</v>
      </c>
      <c r="N105" s="15">
        <f t="shared" si="8"/>
        <v>-0.32824348385654256</v>
      </c>
      <c r="O105" s="15"/>
      <c r="P105" s="15"/>
      <c r="Q105" s="15"/>
      <c r="R105" s="15"/>
      <c r="S105" s="15"/>
      <c r="T105" s="15"/>
      <c r="U105" s="25" t="s">
        <v>108</v>
      </c>
      <c r="V105" s="26">
        <f>(V100*V92)+(V102*V97)</f>
        <v>7.1997340878436081E-2</v>
      </c>
    </row>
    <row r="106" spans="1:22" ht="19" x14ac:dyDescent="0.25">
      <c r="A106" s="5" t="s">
        <v>90</v>
      </c>
      <c r="B106" s="1">
        <v>37192000</v>
      </c>
      <c r="C106" s="1">
        <v>20379000</v>
      </c>
      <c r="D106" s="1">
        <v>59568000</v>
      </c>
      <c r="E106" s="1">
        <v>56068000</v>
      </c>
      <c r="F106" s="1">
        <v>91479000</v>
      </c>
      <c r="G106" s="1">
        <v>114230000</v>
      </c>
      <c r="H106" s="1">
        <v>214150000</v>
      </c>
      <c r="I106" s="1">
        <v>240633000</v>
      </c>
      <c r="J106" s="1">
        <v>373944000</v>
      </c>
      <c r="K106" s="1">
        <v>464895000</v>
      </c>
      <c r="L106" s="1">
        <v>313889000</v>
      </c>
      <c r="M106" s="1">
        <v>733486000</v>
      </c>
      <c r="N106" s="1">
        <v>492724000</v>
      </c>
      <c r="O106" s="41">
        <f>N106*(1+$V$106)</f>
        <v>547825442.72706747</v>
      </c>
      <c r="P106" s="41">
        <f t="shared" ref="P106:S106" si="9">O106*(1+$V$106)</f>
        <v>609088892.9686954</v>
      </c>
      <c r="Q106" s="41">
        <f t="shared" si="9"/>
        <v>677203449.49853265</v>
      </c>
      <c r="R106" s="41">
        <f t="shared" si="9"/>
        <v>752935273.17084408</v>
      </c>
      <c r="S106" s="41">
        <f t="shared" si="9"/>
        <v>837136204.79141092</v>
      </c>
      <c r="T106" s="42" t="s">
        <v>146</v>
      </c>
      <c r="U106" s="43" t="s">
        <v>147</v>
      </c>
      <c r="V106" s="44">
        <f>(SUM(O4:S4)/5)</f>
        <v>0.11183023909342249</v>
      </c>
    </row>
    <row r="107" spans="1:22" ht="19" x14ac:dyDescent="0.25">
      <c r="A107" s="5"/>
      <c r="B107" s="13"/>
      <c r="C107" s="13"/>
      <c r="D107" s="13"/>
      <c r="E107" s="13"/>
      <c r="F107" s="13"/>
      <c r="G107" s="13"/>
      <c r="H107" s="13"/>
      <c r="I107" s="13"/>
      <c r="J107" s="13"/>
      <c r="K107" s="13"/>
      <c r="L107" s="13"/>
      <c r="M107" s="13"/>
      <c r="N107" s="13"/>
      <c r="O107" s="42"/>
      <c r="P107" s="42"/>
      <c r="Q107" s="42"/>
      <c r="R107" s="42"/>
      <c r="S107" s="45">
        <f>S106*(1+V107)/(V108-V107)</f>
        <v>18257726796.302731</v>
      </c>
      <c r="T107" s="46" t="s">
        <v>148</v>
      </c>
      <c r="U107" s="47" t="s">
        <v>149</v>
      </c>
      <c r="V107" s="48">
        <v>2.5000000000000001E-2</v>
      </c>
    </row>
    <row r="108" spans="1:22" ht="19" x14ac:dyDescent="0.25">
      <c r="O108" s="45">
        <f t="shared" ref="O108:Q108" si="10">O107+O106</f>
        <v>547825442.72706747</v>
      </c>
      <c r="P108" s="45">
        <f t="shared" si="10"/>
        <v>609088892.9686954</v>
      </c>
      <c r="Q108" s="45">
        <f t="shared" si="10"/>
        <v>677203449.49853265</v>
      </c>
      <c r="R108" s="45">
        <f>R107+R106</f>
        <v>752935273.17084408</v>
      </c>
      <c r="S108" s="45">
        <f>S107+S106</f>
        <v>19094863001.094143</v>
      </c>
      <c r="T108" s="46" t="s">
        <v>144</v>
      </c>
      <c r="U108" s="49" t="s">
        <v>150</v>
      </c>
      <c r="V108" s="50">
        <f>V105</f>
        <v>7.1997340878436081E-2</v>
      </c>
    </row>
    <row r="109" spans="1:22" ht="19" x14ac:dyDescent="0.25">
      <c r="O109" s="59" t="s">
        <v>151</v>
      </c>
      <c r="P109" s="60"/>
    </row>
    <row r="110" spans="1:22" ht="20" x14ac:dyDescent="0.25">
      <c r="O110" s="51" t="s">
        <v>152</v>
      </c>
      <c r="P110" s="39">
        <f>NPV(V108,O108,P108,Q108,R108,S108)</f>
        <v>15648924916.472315</v>
      </c>
    </row>
    <row r="111" spans="1:22" ht="20" x14ac:dyDescent="0.25">
      <c r="O111" s="51" t="s">
        <v>153</v>
      </c>
      <c r="P111" s="39">
        <f>N40</f>
        <v>882254000</v>
      </c>
    </row>
    <row r="112" spans="1:22" ht="20" x14ac:dyDescent="0.25">
      <c r="O112" s="51" t="s">
        <v>140</v>
      </c>
      <c r="P112" s="39">
        <f>V99</f>
        <v>912779000</v>
      </c>
    </row>
    <row r="113" spans="15:16" ht="20" x14ac:dyDescent="0.25">
      <c r="O113" s="51" t="s">
        <v>154</v>
      </c>
      <c r="P113" s="39">
        <f>P110+P111-P112</f>
        <v>15618399916.472315</v>
      </c>
    </row>
    <row r="114" spans="15:16" ht="20" x14ac:dyDescent="0.25">
      <c r="O114" s="51" t="s">
        <v>155</v>
      </c>
      <c r="P114" s="52">
        <f>N34*(1+(5*T16))</f>
        <v>283926383.7675544</v>
      </c>
    </row>
    <row r="115" spans="15:16" ht="20" x14ac:dyDescent="0.25">
      <c r="O115" s="53" t="s">
        <v>156</v>
      </c>
      <c r="P115" s="54">
        <f>P113/P114</f>
        <v>55.008624803459007</v>
      </c>
    </row>
    <row r="116" spans="15:16" ht="20" x14ac:dyDescent="0.25">
      <c r="O116" s="51" t="s">
        <v>157</v>
      </c>
      <c r="P116" s="55" cm="1">
        <f t="array" ref="P116">_FV(A1,"Price")</f>
        <v>62.44</v>
      </c>
    </row>
    <row r="117" spans="15:16" ht="20" x14ac:dyDescent="0.25">
      <c r="O117" s="56" t="s">
        <v>158</v>
      </c>
      <c r="P117" s="57">
        <f>P115/P116-1</f>
        <v>-0.11901625875305877</v>
      </c>
    </row>
    <row r="118" spans="15:16" ht="20" x14ac:dyDescent="0.25">
      <c r="O118" s="56" t="s">
        <v>159</v>
      </c>
      <c r="P118" s="58" t="str">
        <f>IF(P115&gt;P116,"BUY","SELL")</f>
        <v>SELL</v>
      </c>
    </row>
  </sheetData>
  <mergeCells count="6">
    <mergeCell ref="O109:P109"/>
    <mergeCell ref="U83:V83"/>
    <mergeCell ref="U84:V84"/>
    <mergeCell ref="U93:V93"/>
    <mergeCell ref="U98:V98"/>
    <mergeCell ref="U104:V104"/>
  </mergeCells>
  <hyperlinks>
    <hyperlink ref="A1" r:id="rId1" tooltip="https://roic.ai/company/MONC.MI" display="ROIC.AI | MONC.M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1" r:id="rId28" display="https://finbox.com/BIT:MONC/explorer/revenue_proj" xr:uid="{FDBB7735-0B3D-174F-9893-5EB500EB1896}"/>
  </hyperlinks>
  <pageMargins left="0.7" right="0.7" top="0.75" bottom="0.75" header="0.3" footer="0.3"/>
  <drawing r:id="rId2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2023-05-18T13:30:24Z</dcterms:created>
  <dcterms:modified xsi:type="dcterms:W3CDTF">2023-06-23T18:48:14Z</dcterms:modified>
</cp:coreProperties>
</file>