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38CB1D45-A8E3-0949-8DF9-99AC5D82BD0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4" i="1" l="1" a="1"/>
  <c r="M114" i="1" s="1"/>
  <c r="M106" i="1"/>
  <c r="N106" i="1"/>
  <c r="O106" i="1"/>
  <c r="P106" i="1"/>
  <c r="L106" i="1"/>
  <c r="M116" i="1" a="1"/>
  <c r="M116" i="1" s="1"/>
  <c r="S101" i="1" a="1"/>
  <c r="S101" i="1" s="1"/>
  <c r="S95" i="1" a="1"/>
  <c r="S95" i="1" s="1"/>
  <c r="S97" i="1" s="1"/>
  <c r="S86" i="1"/>
  <c r="S87" i="1"/>
  <c r="S99" i="1"/>
  <c r="S85" i="1"/>
  <c r="S88" i="1"/>
  <c r="S89" i="1"/>
  <c r="S90" i="1"/>
  <c r="S91" i="1"/>
  <c r="S92" i="1"/>
  <c r="L108" i="1"/>
  <c r="M108" i="1"/>
  <c r="N108" i="1"/>
  <c r="O108" i="1"/>
  <c r="M111" i="1"/>
  <c r="M112" i="1"/>
  <c r="Q16" i="1"/>
  <c r="L4" i="1"/>
  <c r="M4" i="1"/>
  <c r="N4" i="1"/>
  <c r="O4" i="1"/>
  <c r="P4" i="1"/>
  <c r="S106" i="1"/>
  <c r="Q19" i="1"/>
  <c r="T13" i="1"/>
  <c r="S13" i="1"/>
  <c r="R13" i="1"/>
  <c r="Q13" i="1"/>
  <c r="T10" i="1"/>
  <c r="S10" i="1"/>
  <c r="R10" i="1"/>
  <c r="Q10" i="1"/>
  <c r="T7" i="1"/>
  <c r="S7" i="1"/>
  <c r="R7" i="1"/>
  <c r="Q7" i="1"/>
  <c r="T4" i="1"/>
  <c r="S4" i="1"/>
  <c r="R4" i="1"/>
  <c r="Q4" i="1"/>
  <c r="AT105" i="1"/>
  <c r="K105" i="1"/>
  <c r="J105" i="1"/>
  <c r="I105" i="1"/>
  <c r="H105" i="1"/>
  <c r="G105" i="1"/>
  <c r="F105" i="1"/>
  <c r="E105" i="1"/>
  <c r="D105" i="1"/>
  <c r="C105" i="1"/>
  <c r="AT89" i="1"/>
  <c r="K89" i="1"/>
  <c r="J89" i="1"/>
  <c r="I89" i="1"/>
  <c r="H89" i="1"/>
  <c r="G89" i="1"/>
  <c r="F89" i="1"/>
  <c r="E89" i="1"/>
  <c r="D89" i="1"/>
  <c r="C89" i="1"/>
  <c r="B89" i="1"/>
  <c r="K80" i="1"/>
  <c r="J80" i="1"/>
  <c r="I80" i="1"/>
  <c r="H80" i="1"/>
  <c r="G80" i="1"/>
  <c r="F80" i="1"/>
  <c r="E80" i="1"/>
  <c r="D80" i="1"/>
  <c r="C80" i="1"/>
  <c r="B80" i="1"/>
  <c r="K35" i="1"/>
  <c r="J35" i="1"/>
  <c r="I35" i="1"/>
  <c r="H35" i="1"/>
  <c r="G35" i="1"/>
  <c r="F35" i="1"/>
  <c r="E35" i="1"/>
  <c r="D35" i="1"/>
  <c r="C35" i="1"/>
  <c r="K29" i="1"/>
  <c r="J29" i="1"/>
  <c r="I29" i="1"/>
  <c r="H29" i="1"/>
  <c r="G29" i="1"/>
  <c r="F29" i="1"/>
  <c r="E29" i="1"/>
  <c r="D29" i="1"/>
  <c r="C29" i="1"/>
  <c r="K20" i="1"/>
  <c r="J20" i="1"/>
  <c r="I20" i="1"/>
  <c r="H20" i="1"/>
  <c r="G20" i="1"/>
  <c r="F20" i="1"/>
  <c r="E20" i="1"/>
  <c r="D20" i="1"/>
  <c r="C20" i="1"/>
  <c r="K13" i="1"/>
  <c r="J13" i="1"/>
  <c r="I13" i="1"/>
  <c r="H13" i="1"/>
  <c r="G13" i="1"/>
  <c r="F13" i="1"/>
  <c r="E13" i="1"/>
  <c r="D13" i="1"/>
  <c r="C13" i="1"/>
  <c r="B13" i="1"/>
  <c r="K9" i="1"/>
  <c r="J9" i="1"/>
  <c r="I9" i="1"/>
  <c r="H9" i="1"/>
  <c r="G9" i="1"/>
  <c r="F9" i="1"/>
  <c r="E9" i="1"/>
  <c r="D9" i="1"/>
  <c r="C9" i="1"/>
  <c r="B9" i="1"/>
  <c r="K4" i="1"/>
  <c r="J4" i="1"/>
  <c r="I4" i="1"/>
  <c r="H4" i="1"/>
  <c r="G4" i="1"/>
  <c r="F4" i="1"/>
  <c r="E4" i="1"/>
  <c r="D4" i="1"/>
  <c r="C4" i="1"/>
  <c r="S16" i="1" l="1"/>
  <c r="R16" i="1"/>
  <c r="T16" i="1"/>
  <c r="S103" i="1"/>
  <c r="S100" i="1" s="1"/>
  <c r="S102" i="1"/>
  <c r="S105" i="1" l="1"/>
  <c r="S108" i="1" s="1"/>
  <c r="P107" i="1" l="1"/>
  <c r="P108" i="1" s="1"/>
  <c r="M110" i="1" s="1"/>
  <c r="M113" i="1" s="1"/>
  <c r="M115" i="1" s="1"/>
  <c r="M117" i="1" l="1"/>
  <c r="M1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<sst xmlns="http://schemas.openxmlformats.org/spreadsheetml/2006/main" count="333" uniqueCount="160">
  <si>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</si>
  <si>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</si>
  <si>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</si>
  <si>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</si>
  <si>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</si>
  <si>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</si>
  <si>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</si>
  <si>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</si>
  <si>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</si>
  <si>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</si>
  <si>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</si>
  <si>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</si>
  <si>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</si>
  <si>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</si>
  <si>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</si>
  <si>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</si>
  <si>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</si>
  <si>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</si>
  <si>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</si>
  <si>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</si>
  <si>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</si>
  <si>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</si>
  <si>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</si>
  <si>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</si>
  <si>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</si>
  <si>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</si>
  <si>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</si>
  <si>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</si>
  <si>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</si>
  <si>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</si>
  <si>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</si>
  <si>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</si>
  <si>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</si>
  <si>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</si>
  <si>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</si>
  <si>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</si>
  <si>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</si>
  <si>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</si>
  <si>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</si>
  <si>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</si>
  <si>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</si>
  <si>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</si>
  <si>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</si>
  <si>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</si>
  <si>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</si>
  <si>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</si>
  <si>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</si>
  <si>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</si>
  <si>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</si>
  <si>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</si>
  <si>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</si>
  <si>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</si>
  <si>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</si>
  <si>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</si>
  <si>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</si>
  <si>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</si>
  <si>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</si>
  <si>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</si>
  <si>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</si>
  <si>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</si>
  <si>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</si>
  <si>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</si>
  <si>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</si>
  <si>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</si>
  <si>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</si>
  <si>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</si>
  <si>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</si>
  <si>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</si>
  <si>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</si>
  <si>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</si>
  <si>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</si>
  <si>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</si>
  <si>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</si>
  <si>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</si>
  <si>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</si>
  <si>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</si>
  <si>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</si>
  <si>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</si>
  <si>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</si>
  <si>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</si>
  <si>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</si>
  <si>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</si>
  <si>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</si>
  <si>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</si>
  <si>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</si>
  <si>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</si>
  <si>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</si>
  <si>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</si>
  <si>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</si>
  <si>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</si>
  <si>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</si>
  <si>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</si>
  <si>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</si>
  <si>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</si>
  <si>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</si>
  <si>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</si>
  <si>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</si>
  <si>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</si>
  <si>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</si>
  <si>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</si>
  <si>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</si>
  <si>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</si>
  <si>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</si>
  <si>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</si>
  <si>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</si>
  <si>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</si>
  <si>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</si>
  <si>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</si>
  <si>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</si>
  <si>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</si>
  <si>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</si>
  <si>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</si>
  <si>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</si>
  <si>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</si>
  <si>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</si>
  <si>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</si>
  <si>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</si>
  <si>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</si>
  <si>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</si>
  <si>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</si>
  <si>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</si>
  <si>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</si>
  <si>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</si>
  <si>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</si>
  <si>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</si>
  <si>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</si>
  <si>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</si>
  <si>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</si>
  <si>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</si>
  <si>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</si>
  <si>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</si>
  <si>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</si>
  <si>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</si>
  <si>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</si>
  <si>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</si>
  <si>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</si>
  <si>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</si>
  <si>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</si>
  <si>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</si>
  <si>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</si>
  <si>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</si>
  <si>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</si>
  <si>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</si>
  <si>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</si>
  <si>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</si>
  <si>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</si>
  <si>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</si>
  <si>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</si>
  <si>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</si>
  <si>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</si>
  <si>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</si>
  <si>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</si>
  <si>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</si>
  <si>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</si>
  <si>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</si>
  <si>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Intrinsic Value</t>
  </si>
  <si>
    <t>Current Price</t>
  </si>
  <si>
    <t>Upside/Downside</t>
  </si>
  <si>
    <t>Buy/Sell</t>
  </si>
  <si>
    <t>Shares (No dilution)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</si>
</sst>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7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1" fillId="0" borderId="9" xfId="0" applyFont="1" applyBorder="1" applyAlignment="1">
      <alignment horizontal="left" vertical="center" wrapText="1"/>
    </xf>
    <xf numFmtId="164" fontId="11" fillId="0" borderId="10" xfId="0" applyNumberFormat="1" applyFont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39" fontId="11" fillId="4" borderId="10" xfId="0" applyNumberFormat="1" applyFont="1" applyFill="1" applyBorder="1"/>
    <xf numFmtId="164" fontId="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8" fontId="1" fillId="4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PLNT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05970149253731E-2"/>
          <c:y val="0.10581630780266311"/>
          <c:w val="0.86954560530679925"/>
          <c:h val="0.750558198874863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1'!$B$3:$K$3</c:f>
              <c:numCache>
                <c:formatCode>#,###,,;\(#,###,,\);\ \-\ \-</c:formatCode>
                <c:ptCount val="10"/>
                <c:pt idx="0">
                  <c:v>211009000</c:v>
                </c:pt>
                <c:pt idx="1">
                  <c:v>279777000</c:v>
                </c:pt>
                <c:pt idx="2">
                  <c:v>330537000</c:v>
                </c:pt>
                <c:pt idx="3">
                  <c:v>378241000</c:v>
                </c:pt>
                <c:pt idx="4">
                  <c:v>429942000</c:v>
                </c:pt>
                <c:pt idx="5">
                  <c:v>572898000</c:v>
                </c:pt>
                <c:pt idx="6">
                  <c:v>688803000</c:v>
                </c:pt>
                <c:pt idx="7">
                  <c:v>406618000</c:v>
                </c:pt>
                <c:pt idx="8">
                  <c:v>587023000</c:v>
                </c:pt>
                <c:pt idx="9">
                  <c:v>936772000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77-B149-8CA7-71C6150EA516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1'!$B$19:$K$19</c:f>
              <c:numCache>
                <c:formatCode>#,###,,;\(#,###,,\);\ \-\ \-</c:formatCode>
                <c:ptCount val="10"/>
                <c:pt idx="0">
                  <c:v>64037000</c:v>
                </c:pt>
                <c:pt idx="1">
                  <c:v>93010000</c:v>
                </c:pt>
                <c:pt idx="2">
                  <c:v>84851000</c:v>
                </c:pt>
                <c:pt idx="3">
                  <c:v>99180000</c:v>
                </c:pt>
                <c:pt idx="4">
                  <c:v>474104000</c:v>
                </c:pt>
                <c:pt idx="5">
                  <c:v>203044000</c:v>
                </c:pt>
                <c:pt idx="6">
                  <c:v>260894000</c:v>
                </c:pt>
                <c:pt idx="7">
                  <c:v>121702000</c:v>
                </c:pt>
                <c:pt idx="8">
                  <c:v>192444000</c:v>
                </c:pt>
                <c:pt idx="9">
                  <c:v>362567000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77-B149-8CA7-71C6150EA516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1'!$B$106:$K$106</c:f>
              <c:numCache>
                <c:formatCode>#,###,,;\(#,###,,\);\ \-\ \-</c:formatCode>
                <c:ptCount val="10"/>
                <c:pt idx="0">
                  <c:v>59656000</c:v>
                </c:pt>
                <c:pt idx="1">
                  <c:v>24117000</c:v>
                </c:pt>
                <c:pt idx="2">
                  <c:v>62175000</c:v>
                </c:pt>
                <c:pt idx="3">
                  <c:v>93440000</c:v>
                </c:pt>
                <c:pt idx="4">
                  <c:v>93299000</c:v>
                </c:pt>
                <c:pt idx="5">
                  <c:v>97787000</c:v>
                </c:pt>
                <c:pt idx="6">
                  <c:v>93508000</c:v>
                </c:pt>
                <c:pt idx="7">
                  <c:v>-21422000</c:v>
                </c:pt>
                <c:pt idx="8">
                  <c:v>133327000</c:v>
                </c:pt>
                <c:pt idx="9">
                  <c:v>140150000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77-B149-8CA7-71C6150EA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82728336"/>
        <c:axId val="1382732320"/>
      </c:barChart>
      <c:catAx>
        <c:axId val="138272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732320"/>
        <c:crosses val="autoZero"/>
        <c:auto val="1"/>
        <c:lblAlgn val="ctr"/>
        <c:lblOffset val="100"/>
        <c:noMultiLvlLbl val="0"/>
      </c:catAx>
      <c:valAx>
        <c:axId val="13827323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72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929718859769393"/>
          <c:y val="0.91823710622835775"/>
          <c:w val="0.30405891800838331"/>
          <c:h val="4.46955697937879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31749</xdr:colOff>
      <xdr:row>108</xdr:row>
      <xdr:rowOff>33337</xdr:rowOff>
    </xdr:from>
    <xdr:to>
      <xdr:col>18</xdr:col>
      <xdr:colOff>1587499</xdr:colOff>
      <xdr:row>134</xdr:row>
      <xdr:rowOff>31749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DBF138-DCCE-73CB-E441-BFADFE7AC3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https://www.bing.com/financeapi/forcetrigger?t=a1zyf2&amp;q=XNYS%3aPLNT&amp;form=skydnc</v>
    <v>Learn more on Bing</v>
  </rv>
  <rv s="1">
    <v>0</v>
    <v>PLANET FITNESS, INC. (XNYS:PLNT)</v>
    <v>2</v>
    <v>3</v>
    <v>Finance</v>
    <v>4</v>
    <v>en-US</v>
    <v>a1zyf2</v>
    <v>268435456</v>
    <v>1</v>
    <v>Powered by Refinitiv</v>
    <v>85.905000000000001</v>
    <v>54.15</v>
    <v>1.3140000000000001</v>
    <v>-2.105</v>
    <v>-3.1019999999999999E-2</v>
    <v>USD</v>
    <v>Planet Fitness, Inc. is a franchisor and operator of fitness centers in the United States. The Company operates through three segments: Franchise, Corporate-owned stores, and Equipment. The Franchise segment includes operations related to its franchising business in the United States, Puerto Rico, Canada, Panama, Mexico and Australia. The Corporate-owned stores segment includes operations with respect to all corporate-owned stores throughout the United States and Canada. The Equipment segment primarily includes the sale of equipment to franchisee-owned stores in the United States, Canada and Mexico. Its subsidiaries operate three lines of business, which include licensing and selling franchises, owning and operating fitness centers, and selling fitness-related equipment to franchisee-owned stores. The Company has approximately 2,446 stores in 50 states, the District of Columbia, Puerto Rico, Canada, Panama, Mexico and Australia.</v>
    <v>2795</v>
    <v>New York Stock Exchange</v>
    <v>XNYS</v>
    <v>XNYS</v>
    <v>4 Liberty Lane West, HAMPTON, NH, 03842 US</v>
    <v>66.48</v>
    <v>Hotels &amp; Entertainment Services</v>
    <v>Stock</v>
    <v>45100.784377071097</v>
    <v>0</v>
    <v>64.010000000000005</v>
    <v>5864837713</v>
    <v>PLANET FITNESS, INC.</v>
    <v>PLANET FITNESS, INC.</v>
    <v>65.349999999999994</v>
    <v>54.175699999999999</v>
    <v>67.86</v>
    <v>65.754999999999995</v>
    <v>89192270</v>
    <v>PLNT</v>
    <v>PLANET FITNESS, INC. (XNYS:PLNT)</v>
    <v>1410167</v>
    <v>1887214</v>
    <v>2015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Real-Time Nasdaq Last Sale</v>
      <v>from previous close</v>
      <v>from previous close</v>
      <v>Source: Nasdaq Last Sale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637207/000156459017003401/0001564590-17-003401-index.htm" TargetMode="External"/><Relationship Id="rId13" Type="http://schemas.openxmlformats.org/officeDocument/2006/relationships/hyperlink" Target="https://www.sec.gov/Archives/edgar/data/1637207/000163720719000009/0001637207-19-000009-index.htm" TargetMode="External"/><Relationship Id="rId18" Type="http://schemas.openxmlformats.org/officeDocument/2006/relationships/hyperlink" Target="https://www.sec.gov/Archives/edgar/data/1637207/000163720722000011/0001637207-22-000011-index.htm" TargetMode="External"/><Relationship Id="rId3" Type="http://schemas.openxmlformats.org/officeDocument/2006/relationships/hyperlink" Target="https://sec.gov/" TargetMode="External"/><Relationship Id="rId21" Type="http://schemas.openxmlformats.org/officeDocument/2006/relationships/hyperlink" Target="https://www.sec.gov/Archives/edgar/data/1637207/000163720723000005/0001637207-23-000005-index.htm" TargetMode="External"/><Relationship Id="rId7" Type="http://schemas.openxmlformats.org/officeDocument/2006/relationships/hyperlink" Target="https://www.sec.gov/Archives/edgar/data/1637207/000156459016014027/0001564590-16-014027-index.htm" TargetMode="External"/><Relationship Id="rId12" Type="http://schemas.openxmlformats.org/officeDocument/2006/relationships/hyperlink" Target="https://www.sec.gov/Archives/edgar/data/1637207/000163720719000009/0001637207-19-000009-index.htm" TargetMode="External"/><Relationship Id="rId17" Type="http://schemas.openxmlformats.org/officeDocument/2006/relationships/hyperlink" Target="https://www.sec.gov/Archives/edgar/data/1637207/000163720721000009/0001637207-21-000009-index.htm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637207/000163720721000009/0001637207-21-000009-index.htm" TargetMode="External"/><Relationship Id="rId20" Type="http://schemas.openxmlformats.org/officeDocument/2006/relationships/hyperlink" Target="https://www.sec.gov/Archives/edgar/data/1637207/000163720723000005/0001637207-23-000005-index.htm" TargetMode="External"/><Relationship Id="rId1" Type="http://schemas.openxmlformats.org/officeDocument/2006/relationships/hyperlink" Target="https://roic.ai/company/PLNT" TargetMode="External"/><Relationship Id="rId6" Type="http://schemas.openxmlformats.org/officeDocument/2006/relationships/hyperlink" Target="https://www.sec.gov/Archives/edgar/data/1637207/000156459016014027/0001564590-16-014027-index.htm" TargetMode="External"/><Relationship Id="rId11" Type="http://schemas.openxmlformats.org/officeDocument/2006/relationships/hyperlink" Target="https://www.sec.gov/Archives/edgar/data/1637207/000156459018004109/0001564590-18-004109-index.htm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637207/000163720720000008/0001637207-20-000008-index.htm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www.sec.gov/Archives/edgar/data/1637207/000156459018004109/0001564590-18-004109-index.htm" TargetMode="External"/><Relationship Id="rId19" Type="http://schemas.openxmlformats.org/officeDocument/2006/relationships/hyperlink" Target="https://www.sec.gov/Archives/edgar/data/1637207/000163720722000011/0001637207-22-000011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637207/000156459017003401/0001564590-17-003401-index.htm" TargetMode="External"/><Relationship Id="rId14" Type="http://schemas.openxmlformats.org/officeDocument/2006/relationships/hyperlink" Target="https://www.sec.gov/Archives/edgar/data/1637207/000163720720000008/0001637207-20-000008-index.htm" TargetMode="External"/><Relationship Id="rId22" Type="http://schemas.openxmlformats.org/officeDocument/2006/relationships/hyperlink" Target="https://finbox.com/NASDAQGS:PLNT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8"/>
  <sheetViews>
    <sheetView tabSelected="1" zoomScale="80" zoomScaleNormal="80" workbookViewId="0">
      <pane xSplit="1" ySplit="1" topLeftCell="J94" activePane="bottomRight" state="frozen"/>
      <selection pane="topRight"/>
      <selection pane="bottomLeft"/>
      <selection pane="bottomRight" activeCell="N102" sqref="N102"/>
    </sheetView>
  </sheetViews>
  <sheetFormatPr baseColWidth="10" defaultRowHeight="16" x14ac:dyDescent="0.2"/>
  <cols>
    <col min="1" max="1" width="50" customWidth="1"/>
    <col min="2" max="11" width="15" customWidth="1"/>
    <col min="12" max="20" width="21" customWidth="1"/>
  </cols>
  <sheetData>
    <row r="1" spans="1:42" ht="22" thickBot="1" x14ac:dyDescent="0.3">
      <c r="A1" s="3" t="e" vm="1">
        <v>#VALUE!</v>
      </c>
      <c r="B1" s="8">
        <v>2013</v>
      </c>
      <c r="C1" s="8">
        <v>2014</v>
      </c>
      <c r="D1" s="8">
        <v>2015</v>
      </c>
      <c r="E1" s="8">
        <v>2016</v>
      </c>
      <c r="F1" s="8">
        <v>2017</v>
      </c>
      <c r="G1" s="8">
        <v>2018</v>
      </c>
      <c r="H1" s="8">
        <v>2019</v>
      </c>
      <c r="I1" s="8">
        <v>2020</v>
      </c>
      <c r="J1" s="8">
        <v>2021</v>
      </c>
      <c r="K1" s="8">
        <v>2022</v>
      </c>
      <c r="L1" s="29">
        <v>2023</v>
      </c>
      <c r="M1" s="29">
        <v>2024</v>
      </c>
      <c r="N1" s="29">
        <v>2025</v>
      </c>
      <c r="O1" s="29">
        <v>2026</v>
      </c>
      <c r="P1" s="29">
        <v>2027</v>
      </c>
    </row>
    <row r="2" spans="1:42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/>
      <c r="O2" s="9"/>
      <c r="P2" s="9"/>
      <c r="Q2" s="9"/>
      <c r="R2" s="9"/>
      <c r="S2" s="9"/>
      <c r="T2" s="9"/>
    </row>
    <row r="3" spans="1:42" ht="40" x14ac:dyDescent="0.25">
      <c r="A3" s="5" t="s">
        <v>1</v>
      </c>
      <c r="B3" s="1">
        <v>211009000</v>
      </c>
      <c r="C3" s="1">
        <v>279777000</v>
      </c>
      <c r="D3" s="1">
        <v>330537000</v>
      </c>
      <c r="E3" s="1">
        <v>378241000</v>
      </c>
      <c r="F3" s="1">
        <v>429942000</v>
      </c>
      <c r="G3" s="1">
        <v>572898000</v>
      </c>
      <c r="H3" s="1">
        <v>688803000</v>
      </c>
      <c r="I3" s="1">
        <v>406618000</v>
      </c>
      <c r="J3" s="1">
        <v>587023000</v>
      </c>
      <c r="K3" s="1">
        <v>936772000</v>
      </c>
      <c r="L3" s="30">
        <v>1066000000</v>
      </c>
      <c r="M3" s="30">
        <v>1212000000</v>
      </c>
      <c r="N3" s="30">
        <v>1320000000</v>
      </c>
      <c r="O3" s="30">
        <v>1374000000</v>
      </c>
      <c r="P3" s="30">
        <v>1484000000</v>
      </c>
      <c r="Q3" s="18" t="s">
        <v>109</v>
      </c>
      <c r="R3" s="19" t="s">
        <v>110</v>
      </c>
      <c r="S3" s="19" t="s">
        <v>111</v>
      </c>
      <c r="T3" s="19" t="s">
        <v>112</v>
      </c>
    </row>
    <row r="4" spans="1:42" ht="19" x14ac:dyDescent="0.25">
      <c r="A4" s="14" t="s">
        <v>94</v>
      </c>
      <c r="B4" s="1"/>
      <c r="C4" s="15">
        <f>(C3/B3)-1</f>
        <v>0.32590079096152302</v>
      </c>
      <c r="D4" s="15">
        <f>(D3/C3)-1</f>
        <v>0.18143021048906816</v>
      </c>
      <c r="E4" s="15">
        <f>(E3/D3)-1</f>
        <v>0.14432272332598162</v>
      </c>
      <c r="F4" s="15">
        <f t="shared" ref="F4:P4" si="0">(F3/E3)-1</f>
        <v>0.13668798464471066</v>
      </c>
      <c r="G4" s="15">
        <f t="shared" si="0"/>
        <v>0.33250066288010949</v>
      </c>
      <c r="H4" s="16">
        <f t="shared" si="0"/>
        <v>0.20231350083260891</v>
      </c>
      <c r="I4" s="16">
        <f t="shared" si="0"/>
        <v>-0.40967446425175269</v>
      </c>
      <c r="J4" s="16">
        <f t="shared" si="0"/>
        <v>0.44367194762651918</v>
      </c>
      <c r="K4" s="16">
        <f t="shared" si="0"/>
        <v>0.59580118666559923</v>
      </c>
      <c r="L4" s="16">
        <f t="shared" si="0"/>
        <v>0.13795032302417232</v>
      </c>
      <c r="M4" s="16">
        <f t="shared" si="0"/>
        <v>0.13696060037523461</v>
      </c>
      <c r="N4" s="16">
        <f t="shared" si="0"/>
        <v>8.9108910891089188E-2</v>
      </c>
      <c r="O4" s="16">
        <f t="shared" si="0"/>
        <v>4.0909090909091006E-2</v>
      </c>
      <c r="P4" s="16">
        <f t="shared" si="0"/>
        <v>8.0058224163027658E-2</v>
      </c>
      <c r="Q4" s="17">
        <f>(K4+J4+I4)/3</f>
        <v>0.20993289001345525</v>
      </c>
      <c r="R4" s="17">
        <f>(K20+J20+I20)/3</f>
        <v>0.31058864642400058</v>
      </c>
      <c r="S4" s="17">
        <f>(K29+J29+I29)/3</f>
        <v>-1.2189317466269154</v>
      </c>
      <c r="T4" s="17">
        <f>(K105+J105+I105)/3</f>
        <v>-2.8005843588788921</v>
      </c>
      <c r="AH4" s="16"/>
      <c r="AI4" s="16"/>
      <c r="AJ4" s="16"/>
      <c r="AK4" s="16"/>
      <c r="AL4" s="16"/>
      <c r="AM4" s="16"/>
      <c r="AN4" s="16"/>
      <c r="AO4" s="16"/>
      <c r="AP4" s="16"/>
    </row>
    <row r="5" spans="1:42" ht="19" x14ac:dyDescent="0.25">
      <c r="A5" s="5" t="s">
        <v>2</v>
      </c>
      <c r="B5" s="1">
        <v>123045000</v>
      </c>
      <c r="C5" s="1">
        <v>149782000</v>
      </c>
      <c r="D5" s="1">
        <v>170977000</v>
      </c>
      <c r="E5" s="1">
        <v>182438000</v>
      </c>
      <c r="F5" s="1">
        <v>189923000</v>
      </c>
      <c r="G5" s="1">
        <v>280270000</v>
      </c>
      <c r="H5" s="1">
        <v>330710000</v>
      </c>
      <c r="I5" s="1">
        <v>220007000</v>
      </c>
      <c r="J5" s="1">
        <v>271151000</v>
      </c>
      <c r="K5" s="1">
        <v>177200000</v>
      </c>
    </row>
    <row r="6" spans="1:42" ht="20" x14ac:dyDescent="0.25">
      <c r="A6" s="6" t="s">
        <v>3</v>
      </c>
      <c r="B6" s="10">
        <v>87964000</v>
      </c>
      <c r="C6" s="10">
        <v>129995000</v>
      </c>
      <c r="D6" s="10">
        <v>159560000</v>
      </c>
      <c r="E6" s="10">
        <v>195803000</v>
      </c>
      <c r="F6" s="10">
        <v>240019000</v>
      </c>
      <c r="G6" s="10">
        <v>292628000</v>
      </c>
      <c r="H6" s="10">
        <v>358093000</v>
      </c>
      <c r="I6" s="10">
        <v>186611000</v>
      </c>
      <c r="J6" s="10">
        <v>315872000</v>
      </c>
      <c r="K6" s="10">
        <v>759572000</v>
      </c>
      <c r="Q6" s="18" t="s">
        <v>113</v>
      </c>
      <c r="R6" s="19" t="s">
        <v>114</v>
      </c>
      <c r="S6" s="19" t="s">
        <v>115</v>
      </c>
      <c r="T6" s="19" t="s">
        <v>116</v>
      </c>
    </row>
    <row r="7" spans="1:42" ht="19" x14ac:dyDescent="0.25">
      <c r="A7" s="5" t="s">
        <v>4</v>
      </c>
      <c r="B7" s="2">
        <v>0.41689999999999999</v>
      </c>
      <c r="C7" s="2">
        <v>0.46460000000000001</v>
      </c>
      <c r="D7" s="2">
        <v>0.48270000000000002</v>
      </c>
      <c r="E7" s="2">
        <v>0.51770000000000005</v>
      </c>
      <c r="F7" s="2">
        <v>0.55830000000000002</v>
      </c>
      <c r="G7" s="2">
        <v>0.51080000000000003</v>
      </c>
      <c r="H7" s="2">
        <v>0.51990000000000003</v>
      </c>
      <c r="I7" s="2">
        <v>0.45889999999999997</v>
      </c>
      <c r="J7" s="2">
        <v>0.53810000000000002</v>
      </c>
      <c r="K7" s="2">
        <v>0.81079999999999997</v>
      </c>
      <c r="Q7" s="17">
        <f>K7</f>
        <v>0.81079999999999997</v>
      </c>
      <c r="R7" s="20">
        <f>K21</f>
        <v>0.38700000000000001</v>
      </c>
      <c r="S7" s="20">
        <f>K30</f>
        <v>0.1061</v>
      </c>
      <c r="T7" s="20">
        <f>K106/K3</f>
        <v>0.14960951010491347</v>
      </c>
    </row>
    <row r="8" spans="1:42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42" ht="19" customHeight="1" x14ac:dyDescent="0.25">
      <c r="A9" s="14" t="s">
        <v>95</v>
      </c>
      <c r="B9" s="15">
        <f>B8/B3</f>
        <v>0</v>
      </c>
      <c r="C9" s="15">
        <f t="shared" ref="C9:K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/>
      <c r="M9" s="15"/>
      <c r="N9" s="15"/>
      <c r="O9" s="15"/>
      <c r="Q9" s="18" t="s">
        <v>96</v>
      </c>
      <c r="R9" s="19" t="s">
        <v>97</v>
      </c>
      <c r="S9" s="19" t="s">
        <v>98</v>
      </c>
      <c r="T9" s="19" t="s">
        <v>99</v>
      </c>
      <c r="AH9" s="15"/>
      <c r="AI9" s="15"/>
      <c r="AJ9" s="15"/>
      <c r="AK9" s="15"/>
      <c r="AL9" s="15"/>
    </row>
    <row r="10" spans="1:42" ht="19" x14ac:dyDescent="0.25">
      <c r="A10" s="5" t="s">
        <v>6</v>
      </c>
      <c r="B10" s="1" t="s">
        <v>92</v>
      </c>
      <c r="C10" s="1" t="s">
        <v>92</v>
      </c>
      <c r="D10" s="1">
        <v>55573000</v>
      </c>
      <c r="E10" s="1">
        <v>50008000</v>
      </c>
      <c r="F10" s="1">
        <v>60369000</v>
      </c>
      <c r="G10" s="1">
        <v>72446000</v>
      </c>
      <c r="H10" s="1">
        <v>78818000</v>
      </c>
      <c r="I10" s="1">
        <v>68585000</v>
      </c>
      <c r="J10" s="1" t="s">
        <v>92</v>
      </c>
      <c r="K10" s="1" t="s">
        <v>92</v>
      </c>
      <c r="Q10" s="17">
        <f>K9</f>
        <v>0</v>
      </c>
      <c r="R10" s="20">
        <f>K13</f>
        <v>0.12260507359314753</v>
      </c>
      <c r="S10" s="20">
        <f>K80</f>
        <v>8.612554602400584E-3</v>
      </c>
      <c r="T10" s="20">
        <f>K89</f>
        <v>0.10681040850922102</v>
      </c>
    </row>
    <row r="11" spans="1:42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</row>
    <row r="12" spans="1:42" ht="20" x14ac:dyDescent="0.25">
      <c r="A12" s="5" t="s">
        <v>8</v>
      </c>
      <c r="B12" s="1" t="s">
        <v>92</v>
      </c>
      <c r="C12" s="1" t="s">
        <v>92</v>
      </c>
      <c r="D12" s="1">
        <v>55573000</v>
      </c>
      <c r="E12" s="1">
        <v>50008000</v>
      </c>
      <c r="F12" s="1">
        <v>60369000</v>
      </c>
      <c r="G12" s="1">
        <v>72446000</v>
      </c>
      <c r="H12" s="1">
        <v>78818000</v>
      </c>
      <c r="I12" s="1">
        <v>68585000</v>
      </c>
      <c r="J12" s="1">
        <v>94540000</v>
      </c>
      <c r="K12" s="1">
        <v>114853000</v>
      </c>
      <c r="Q12" s="18" t="s">
        <v>117</v>
      </c>
      <c r="R12" s="19" t="s">
        <v>118</v>
      </c>
      <c r="S12" s="19" t="s">
        <v>119</v>
      </c>
      <c r="T12" s="19" t="s">
        <v>120</v>
      </c>
    </row>
    <row r="13" spans="1:42" ht="19" x14ac:dyDescent="0.25">
      <c r="A13" s="14" t="s">
        <v>100</v>
      </c>
      <c r="B13" s="15" t="e">
        <f>B12/B3</f>
        <v>#VALUE!</v>
      </c>
      <c r="C13" s="15" t="e">
        <f t="shared" ref="C13:K13" si="2">C12/C3</f>
        <v>#VALUE!</v>
      </c>
      <c r="D13" s="15">
        <f t="shared" si="2"/>
        <v>0.16812943785415854</v>
      </c>
      <c r="E13" s="15">
        <f t="shared" si="2"/>
        <v>0.13221200240058587</v>
      </c>
      <c r="F13" s="15">
        <f t="shared" si="2"/>
        <v>0.14041196254378496</v>
      </c>
      <c r="G13" s="15">
        <f t="shared" si="2"/>
        <v>0.12645532014424907</v>
      </c>
      <c r="H13" s="15">
        <f t="shared" si="2"/>
        <v>0.11442749233089868</v>
      </c>
      <c r="I13" s="15">
        <f t="shared" si="2"/>
        <v>0.16867182466098402</v>
      </c>
      <c r="J13" s="15">
        <f t="shared" si="2"/>
        <v>0.16104990775489206</v>
      </c>
      <c r="K13" s="15">
        <f t="shared" si="2"/>
        <v>0.12260507359314753</v>
      </c>
      <c r="L13" s="15"/>
      <c r="M13" s="15"/>
      <c r="N13" s="15"/>
      <c r="O13" s="15"/>
      <c r="Q13" s="17">
        <f>K28/K72</f>
        <v>-0.49947741844712884</v>
      </c>
      <c r="R13" s="20">
        <f>K28/K54</f>
        <v>3.4821825488713085E-2</v>
      </c>
      <c r="S13" s="20">
        <f>K22/(K72+K56+K61)</f>
        <v>0.10742714239823095</v>
      </c>
      <c r="T13" s="21">
        <f>K67/K72</f>
        <v>-15.343803388740378</v>
      </c>
      <c r="AH13" s="15"/>
      <c r="AI13" s="15"/>
      <c r="AJ13" s="15"/>
      <c r="AK13" s="15"/>
      <c r="AL13" s="15"/>
    </row>
    <row r="14" spans="1:42" ht="19" x14ac:dyDescent="0.25">
      <c r="A14" s="5" t="s">
        <v>9</v>
      </c>
      <c r="B14" s="1">
        <v>51926000</v>
      </c>
      <c r="C14" s="1">
        <v>68456000</v>
      </c>
      <c r="D14" s="1">
        <v>31885000</v>
      </c>
      <c r="E14" s="1">
        <v>30133000</v>
      </c>
      <c r="F14" s="1">
        <v>32114000</v>
      </c>
      <c r="G14" s="1">
        <v>36138000</v>
      </c>
      <c r="H14" s="1">
        <v>46192000</v>
      </c>
      <c r="I14" s="1">
        <v>58266000</v>
      </c>
      <c r="J14" s="1">
        <v>77937000</v>
      </c>
      <c r="K14" s="1">
        <v>414641000</v>
      </c>
    </row>
    <row r="15" spans="1:42" ht="20" x14ac:dyDescent="0.25">
      <c r="A15" s="5" t="s">
        <v>10</v>
      </c>
      <c r="B15" s="1">
        <v>51926000</v>
      </c>
      <c r="C15" s="1">
        <v>68456000</v>
      </c>
      <c r="D15" s="1">
        <v>87458000</v>
      </c>
      <c r="E15" s="1">
        <v>80141000</v>
      </c>
      <c r="F15" s="1">
        <v>92483000</v>
      </c>
      <c r="G15" s="1">
        <v>108584000</v>
      </c>
      <c r="H15" s="1">
        <v>125010000</v>
      </c>
      <c r="I15" s="1">
        <v>126851000</v>
      </c>
      <c r="J15" s="1">
        <v>172477000</v>
      </c>
      <c r="K15" s="1">
        <v>529494000</v>
      </c>
      <c r="Q15" s="18" t="s">
        <v>121</v>
      </c>
      <c r="R15" s="19" t="s">
        <v>122</v>
      </c>
      <c r="S15" s="19" t="s">
        <v>123</v>
      </c>
      <c r="T15" s="19" t="s">
        <v>124</v>
      </c>
    </row>
    <row r="16" spans="1:42" ht="19" x14ac:dyDescent="0.25">
      <c r="A16" s="5" t="s">
        <v>11</v>
      </c>
      <c r="B16" s="1">
        <v>174971000</v>
      </c>
      <c r="C16" s="1">
        <v>218238000</v>
      </c>
      <c r="D16" s="1">
        <v>258435000</v>
      </c>
      <c r="E16" s="1">
        <v>262579000</v>
      </c>
      <c r="F16" s="1">
        <v>282406000</v>
      </c>
      <c r="G16" s="1">
        <v>388854000</v>
      </c>
      <c r="H16" s="1">
        <v>455720000</v>
      </c>
      <c r="I16" s="1">
        <v>346858000</v>
      </c>
      <c r="J16" s="1">
        <v>443628000</v>
      </c>
      <c r="K16" s="1">
        <v>706694000</v>
      </c>
      <c r="Q16" s="31">
        <f>(K35+J35+I35+H35+G35)/5</f>
        <v>1.5350359529897212E-2</v>
      </c>
      <c r="R16" s="32">
        <f>S101/K3</f>
        <v>6.2606885271976536</v>
      </c>
      <c r="S16" s="32">
        <f>S101/K28</f>
        <v>59.001204331904788</v>
      </c>
      <c r="T16" s="33">
        <f>S101/K106</f>
        <v>41.846862026400288</v>
      </c>
    </row>
    <row r="17" spans="1:47" ht="19" x14ac:dyDescent="0.25">
      <c r="A17" s="5" t="s">
        <v>12</v>
      </c>
      <c r="B17" s="1">
        <v>8912000</v>
      </c>
      <c r="C17" s="1">
        <v>22177000</v>
      </c>
      <c r="D17" s="1">
        <v>24549000</v>
      </c>
      <c r="E17" s="1">
        <v>27125000</v>
      </c>
      <c r="F17" s="1">
        <v>35283000</v>
      </c>
      <c r="G17" s="1">
        <v>50746000</v>
      </c>
      <c r="H17" s="1">
        <v>60852000</v>
      </c>
      <c r="I17" s="1">
        <v>82117000</v>
      </c>
      <c r="J17" s="1">
        <v>81211000</v>
      </c>
      <c r="K17" s="1">
        <v>88628000</v>
      </c>
    </row>
    <row r="18" spans="1:47" ht="20" x14ac:dyDescent="0.25">
      <c r="A18" s="5" t="s">
        <v>13</v>
      </c>
      <c r="B18" s="1">
        <v>29054000</v>
      </c>
      <c r="C18" s="1">
        <v>32842000</v>
      </c>
      <c r="D18" s="1">
        <v>32636000</v>
      </c>
      <c r="E18" s="1">
        <v>31894000</v>
      </c>
      <c r="F18" s="1">
        <v>32095000</v>
      </c>
      <c r="G18" s="1">
        <v>35635000</v>
      </c>
      <c r="H18" s="1">
        <v>44583000</v>
      </c>
      <c r="I18" s="1">
        <v>53889000</v>
      </c>
      <c r="J18" s="1">
        <v>62800000</v>
      </c>
      <c r="K18" s="1">
        <v>124022000</v>
      </c>
      <c r="Q18" s="18" t="s">
        <v>125</v>
      </c>
    </row>
    <row r="19" spans="1:47" ht="19" x14ac:dyDescent="0.25">
      <c r="A19" s="6" t="s">
        <v>14</v>
      </c>
      <c r="B19" s="10">
        <v>64037000</v>
      </c>
      <c r="C19" s="10">
        <v>93010000</v>
      </c>
      <c r="D19" s="10">
        <v>84851000</v>
      </c>
      <c r="E19" s="10">
        <v>99180000</v>
      </c>
      <c r="F19" s="10">
        <v>474104000</v>
      </c>
      <c r="G19" s="10">
        <v>203044000</v>
      </c>
      <c r="H19" s="10">
        <v>260894000</v>
      </c>
      <c r="I19" s="10">
        <v>121702000</v>
      </c>
      <c r="J19" s="10">
        <v>192444000</v>
      </c>
      <c r="K19" s="10">
        <v>362567000</v>
      </c>
      <c r="Q19" s="34">
        <f>K40-K56-K61</f>
        <v>-1930884000</v>
      </c>
    </row>
    <row r="20" spans="1:47" ht="19" customHeight="1" x14ac:dyDescent="0.25">
      <c r="A20" s="14" t="s">
        <v>101</v>
      </c>
      <c r="B20" s="1"/>
      <c r="C20" s="15">
        <f>(C19/B19)-1</f>
        <v>0.45244155722472956</v>
      </c>
      <c r="D20" s="15">
        <f>(D19/C19)-1</f>
        <v>-8.7721750349424754E-2</v>
      </c>
      <c r="E20" s="15">
        <f>(E19/D19)-1</f>
        <v>0.16887249413678096</v>
      </c>
      <c r="F20" s="15">
        <f t="shared" ref="F20:K20" si="3">(F19/E19)-1</f>
        <v>3.7802379511998385</v>
      </c>
      <c r="G20" s="15">
        <f t="shared" si="3"/>
        <v>-0.57173109697450353</v>
      </c>
      <c r="H20" s="15">
        <f t="shared" si="3"/>
        <v>0.2849136147830027</v>
      </c>
      <c r="I20" s="15">
        <f t="shared" si="3"/>
        <v>-0.53351936035324687</v>
      </c>
      <c r="J20" s="15">
        <f t="shared" si="3"/>
        <v>0.58127228804785469</v>
      </c>
      <c r="K20" s="15">
        <f t="shared" si="3"/>
        <v>0.88401301157739387</v>
      </c>
      <c r="L20" s="15"/>
      <c r="M20" s="15"/>
      <c r="N20" s="15"/>
      <c r="O20" s="15"/>
      <c r="P20" s="15"/>
      <c r="Q20" s="15"/>
      <c r="R20" s="15"/>
      <c r="S20" s="15"/>
      <c r="T20" s="15"/>
      <c r="AH20" s="15"/>
      <c r="AI20" s="15"/>
      <c r="AJ20" s="15"/>
      <c r="AK20" s="15"/>
      <c r="AL20" s="15"/>
      <c r="AT20" s="15"/>
      <c r="AU20" s="15"/>
    </row>
    <row r="21" spans="1:47" ht="19" x14ac:dyDescent="0.25">
      <c r="A21" s="5" t="s">
        <v>15</v>
      </c>
      <c r="B21" s="2">
        <v>0.30349999999999999</v>
      </c>
      <c r="C21" s="2">
        <v>0.33239999999999997</v>
      </c>
      <c r="D21" s="2">
        <v>0.25669999999999998</v>
      </c>
      <c r="E21" s="2">
        <v>0.26219999999999999</v>
      </c>
      <c r="F21" s="2">
        <v>1.1027</v>
      </c>
      <c r="G21" s="2">
        <v>0.35439999999999999</v>
      </c>
      <c r="H21" s="2">
        <v>0.37880000000000003</v>
      </c>
      <c r="I21" s="2">
        <v>0.29930000000000001</v>
      </c>
      <c r="J21" s="2">
        <v>0.32779999999999998</v>
      </c>
      <c r="K21" s="2">
        <v>0.38700000000000001</v>
      </c>
    </row>
    <row r="22" spans="1:47" ht="19" x14ac:dyDescent="0.25">
      <c r="A22" s="6" t="s">
        <v>16</v>
      </c>
      <c r="B22" s="10">
        <v>36038000</v>
      </c>
      <c r="C22" s="10">
        <v>61539000</v>
      </c>
      <c r="D22" s="10">
        <v>72102000</v>
      </c>
      <c r="E22" s="10">
        <v>115662000</v>
      </c>
      <c r="F22" s="10">
        <v>147536000</v>
      </c>
      <c r="G22" s="10">
        <v>184044000</v>
      </c>
      <c r="H22" s="10">
        <v>233083000</v>
      </c>
      <c r="I22" s="10">
        <v>59760000</v>
      </c>
      <c r="J22" s="10">
        <v>143395000</v>
      </c>
      <c r="K22" s="10">
        <v>230078000</v>
      </c>
    </row>
    <row r="23" spans="1:47" ht="19" x14ac:dyDescent="0.25">
      <c r="A23" s="5" t="s">
        <v>17</v>
      </c>
      <c r="B23" s="2">
        <v>0.17080000000000001</v>
      </c>
      <c r="C23" s="2">
        <v>0.22</v>
      </c>
      <c r="D23" s="2">
        <v>0.21809999999999999</v>
      </c>
      <c r="E23" s="2">
        <v>0.30580000000000002</v>
      </c>
      <c r="F23" s="2">
        <v>0.34320000000000001</v>
      </c>
      <c r="G23" s="2">
        <v>0.32129999999999997</v>
      </c>
      <c r="H23" s="2">
        <v>0.33839999999999998</v>
      </c>
      <c r="I23" s="2">
        <v>0.14699999999999999</v>
      </c>
      <c r="J23" s="2">
        <v>0.24429999999999999</v>
      </c>
      <c r="K23" s="2">
        <v>0.24560000000000001</v>
      </c>
    </row>
    <row r="24" spans="1:47" ht="19" x14ac:dyDescent="0.25">
      <c r="A24" s="5" t="s">
        <v>18</v>
      </c>
      <c r="B24" s="1">
        <v>-9606000</v>
      </c>
      <c r="C24" s="1">
        <v>-23061000</v>
      </c>
      <c r="D24" s="1">
        <v>-24824000</v>
      </c>
      <c r="E24" s="1">
        <v>-25754000</v>
      </c>
      <c r="F24" s="1">
        <v>281645000</v>
      </c>
      <c r="G24" s="1">
        <v>-52240000</v>
      </c>
      <c r="H24" s="1">
        <v>-59906000</v>
      </c>
      <c r="I24" s="1">
        <v>-74277000</v>
      </c>
      <c r="J24" s="1">
        <v>-91435000</v>
      </c>
      <c r="K24" s="1">
        <v>-68640000</v>
      </c>
    </row>
    <row r="25" spans="1:47" ht="19" x14ac:dyDescent="0.25">
      <c r="A25" s="6" t="s">
        <v>19</v>
      </c>
      <c r="B25" s="10">
        <v>26432000</v>
      </c>
      <c r="C25" s="10">
        <v>38478000</v>
      </c>
      <c r="D25" s="10">
        <v>47278000</v>
      </c>
      <c r="E25" s="10">
        <v>89908000</v>
      </c>
      <c r="F25" s="10">
        <v>429181000</v>
      </c>
      <c r="G25" s="10">
        <v>131804000</v>
      </c>
      <c r="H25" s="10">
        <v>173177000</v>
      </c>
      <c r="I25" s="10">
        <v>-14517000</v>
      </c>
      <c r="J25" s="10">
        <v>51960000</v>
      </c>
      <c r="K25" s="10">
        <v>161438000</v>
      </c>
    </row>
    <row r="26" spans="1:47" ht="19" x14ac:dyDescent="0.25">
      <c r="A26" s="5" t="s">
        <v>20</v>
      </c>
      <c r="B26" s="2">
        <v>0.12529999999999999</v>
      </c>
      <c r="C26" s="2">
        <v>0.13750000000000001</v>
      </c>
      <c r="D26" s="2">
        <v>0.14299999999999999</v>
      </c>
      <c r="E26" s="2">
        <v>0.23769999999999999</v>
      </c>
      <c r="F26" s="2">
        <v>0.99819999999999998</v>
      </c>
      <c r="G26" s="2">
        <v>0.2301</v>
      </c>
      <c r="H26" s="2">
        <v>0.25140000000000001</v>
      </c>
      <c r="I26" s="2">
        <v>-3.5700000000000003E-2</v>
      </c>
      <c r="J26" s="2">
        <v>8.8499999999999995E-2</v>
      </c>
      <c r="K26" s="2">
        <v>0.17230000000000001</v>
      </c>
    </row>
    <row r="27" spans="1:47" ht="19" x14ac:dyDescent="0.25">
      <c r="A27" s="5" t="s">
        <v>21</v>
      </c>
      <c r="B27" s="1">
        <v>633000</v>
      </c>
      <c r="C27" s="1">
        <v>1183000</v>
      </c>
      <c r="D27" s="1">
        <v>9148000</v>
      </c>
      <c r="E27" s="1">
        <v>18661000</v>
      </c>
      <c r="F27" s="1">
        <v>373580000</v>
      </c>
      <c r="G27" s="1">
        <v>28642000</v>
      </c>
      <c r="H27" s="1">
        <v>37764000</v>
      </c>
      <c r="I27" s="1">
        <v>687000</v>
      </c>
      <c r="J27" s="1">
        <v>5659000</v>
      </c>
      <c r="K27" s="1">
        <v>50515000</v>
      </c>
    </row>
    <row r="28" spans="1:47" ht="20" thickBot="1" x14ac:dyDescent="0.3">
      <c r="A28" s="7" t="s">
        <v>22</v>
      </c>
      <c r="B28" s="11">
        <v>25438000</v>
      </c>
      <c r="C28" s="11">
        <v>36808000</v>
      </c>
      <c r="D28" s="11">
        <v>18518000</v>
      </c>
      <c r="E28" s="11">
        <v>21500000</v>
      </c>
      <c r="F28" s="11">
        <v>33146000</v>
      </c>
      <c r="G28" s="11">
        <v>88021000</v>
      </c>
      <c r="H28" s="11">
        <v>117695000</v>
      </c>
      <c r="I28" s="11">
        <v>-14991000</v>
      </c>
      <c r="J28" s="11">
        <v>42774000</v>
      </c>
      <c r="K28" s="11">
        <v>99402000</v>
      </c>
    </row>
    <row r="29" spans="1:47" ht="20" customHeight="1" thickTop="1" x14ac:dyDescent="0.25">
      <c r="A29" s="14" t="s">
        <v>102</v>
      </c>
      <c r="B29" s="1"/>
      <c r="C29" s="15">
        <f>(C28/B28)-1</f>
        <v>0.44696910134444523</v>
      </c>
      <c r="D29" s="15">
        <f>(D28/C28)-1</f>
        <v>-0.49690284720712885</v>
      </c>
      <c r="E29" s="15">
        <f>(E28/D28)-1</f>
        <v>0.16103250891024956</v>
      </c>
      <c r="F29" s="15">
        <f t="shared" ref="F29:K29" si="4">(F28/E28)-1</f>
        <v>0.54167441860465115</v>
      </c>
      <c r="G29" s="15">
        <f t="shared" si="4"/>
        <v>1.6555542146865383</v>
      </c>
      <c r="H29" s="15">
        <f t="shared" si="4"/>
        <v>0.33712409538632837</v>
      </c>
      <c r="I29" s="15">
        <f t="shared" si="4"/>
        <v>-1.1273715960745996</v>
      </c>
      <c r="J29" s="15">
        <f t="shared" si="4"/>
        <v>-3.8533119871923156</v>
      </c>
      <c r="K29" s="15">
        <f t="shared" si="4"/>
        <v>1.323888343386169</v>
      </c>
      <c r="L29" s="15"/>
      <c r="M29" s="15"/>
      <c r="N29" s="15"/>
      <c r="O29" s="15"/>
      <c r="P29" s="15"/>
      <c r="Q29" s="15"/>
      <c r="R29" s="15"/>
      <c r="S29" s="15"/>
      <c r="T29" s="15"/>
      <c r="AH29" s="15"/>
      <c r="AI29" s="15"/>
      <c r="AJ29" s="15"/>
      <c r="AK29" s="15"/>
      <c r="AL29" s="15"/>
      <c r="AT29" s="15"/>
      <c r="AU29" s="15"/>
    </row>
    <row r="30" spans="1:47" ht="19" x14ac:dyDescent="0.25">
      <c r="A30" s="5" t="s">
        <v>23</v>
      </c>
      <c r="B30" s="2">
        <v>0.1206</v>
      </c>
      <c r="C30" s="2">
        <v>0.13159999999999999</v>
      </c>
      <c r="D30" s="2">
        <v>5.6000000000000001E-2</v>
      </c>
      <c r="E30" s="2">
        <v>5.6800000000000003E-2</v>
      </c>
      <c r="F30" s="2">
        <v>7.7100000000000002E-2</v>
      </c>
      <c r="G30" s="2">
        <v>0.15359999999999999</v>
      </c>
      <c r="H30" s="2">
        <v>0.1709</v>
      </c>
      <c r="I30" s="2">
        <v>-3.6900000000000002E-2</v>
      </c>
      <c r="J30" s="2">
        <v>7.2900000000000006E-2</v>
      </c>
      <c r="K30" s="2">
        <v>0.1061</v>
      </c>
    </row>
    <row r="31" spans="1:47" ht="19" x14ac:dyDescent="0.25">
      <c r="A31" s="5" t="s">
        <v>24</v>
      </c>
      <c r="B31" s="12">
        <v>0.72</v>
      </c>
      <c r="C31" s="12">
        <v>0.17</v>
      </c>
      <c r="D31" s="12">
        <v>0.51</v>
      </c>
      <c r="E31" s="12">
        <v>0.5</v>
      </c>
      <c r="F31" s="12">
        <v>0.42</v>
      </c>
      <c r="G31" s="12">
        <v>1.01</v>
      </c>
      <c r="H31" s="12">
        <v>1.42</v>
      </c>
      <c r="I31" s="12">
        <v>-0.19</v>
      </c>
      <c r="J31" s="12">
        <v>0.51</v>
      </c>
      <c r="K31" s="12">
        <v>1.18</v>
      </c>
    </row>
    <row r="32" spans="1:47" ht="19" x14ac:dyDescent="0.25">
      <c r="A32" s="5" t="s">
        <v>25</v>
      </c>
      <c r="B32" s="12">
        <v>0.72</v>
      </c>
      <c r="C32" s="12">
        <v>0.17</v>
      </c>
      <c r="D32" s="12">
        <v>0.51</v>
      </c>
      <c r="E32" s="12">
        <v>0.5</v>
      </c>
      <c r="F32" s="12">
        <v>0.42</v>
      </c>
      <c r="G32" s="12">
        <v>1</v>
      </c>
      <c r="H32" s="12">
        <v>1.41</v>
      </c>
      <c r="I32" s="12">
        <v>-0.19</v>
      </c>
      <c r="J32" s="12">
        <v>0.51</v>
      </c>
      <c r="K32" s="12">
        <v>1.18</v>
      </c>
    </row>
    <row r="33" spans="1:38" ht="19" x14ac:dyDescent="0.25">
      <c r="A33" s="5" t="s">
        <v>26</v>
      </c>
      <c r="B33" s="1">
        <v>35230000</v>
      </c>
      <c r="C33" s="1">
        <v>35230000</v>
      </c>
      <c r="D33" s="1">
        <v>36598000</v>
      </c>
      <c r="E33" s="1">
        <v>43300000</v>
      </c>
      <c r="F33" s="1">
        <v>78910000</v>
      </c>
      <c r="G33" s="1">
        <v>87235000</v>
      </c>
      <c r="H33" s="1">
        <v>82977000</v>
      </c>
      <c r="I33" s="1">
        <v>80303000</v>
      </c>
      <c r="J33" s="1">
        <v>83296000</v>
      </c>
      <c r="K33" s="1">
        <v>84137000</v>
      </c>
    </row>
    <row r="34" spans="1:38" ht="19" x14ac:dyDescent="0.25">
      <c r="A34" s="5" t="s">
        <v>27</v>
      </c>
      <c r="B34" s="1">
        <v>35230000</v>
      </c>
      <c r="C34" s="1">
        <v>35230000</v>
      </c>
      <c r="D34" s="1">
        <v>36598000</v>
      </c>
      <c r="E34" s="1">
        <v>43305000</v>
      </c>
      <c r="F34" s="1">
        <v>78972000</v>
      </c>
      <c r="G34" s="1">
        <v>87675000</v>
      </c>
      <c r="H34" s="1">
        <v>83619000</v>
      </c>
      <c r="I34" s="1">
        <v>80303000</v>
      </c>
      <c r="J34" s="1">
        <v>83894000</v>
      </c>
      <c r="K34" s="1">
        <v>84544000</v>
      </c>
    </row>
    <row r="35" spans="1:38" ht="20" customHeight="1" x14ac:dyDescent="0.25">
      <c r="A35" s="14" t="s">
        <v>103</v>
      </c>
      <c r="B35" s="1"/>
      <c r="C35" s="22">
        <f>(C34-B34)/B34</f>
        <v>0</v>
      </c>
      <c r="D35" s="22">
        <f t="shared" ref="D35:K35" si="5">(D34-C34)/C34</f>
        <v>3.8830542151575359E-2</v>
      </c>
      <c r="E35" s="22">
        <f t="shared" si="5"/>
        <v>0.18326138040330073</v>
      </c>
      <c r="F35" s="22">
        <f t="shared" si="5"/>
        <v>0.82362313820574995</v>
      </c>
      <c r="G35" s="22">
        <f t="shared" si="5"/>
        <v>0.11020361647166084</v>
      </c>
      <c r="H35" s="22">
        <f t="shared" si="5"/>
        <v>-4.6261762189905901E-2</v>
      </c>
      <c r="I35" s="22">
        <f t="shared" si="5"/>
        <v>-3.9656059029646369E-2</v>
      </c>
      <c r="J35" s="22">
        <f t="shared" si="5"/>
        <v>4.4718130082313241E-2</v>
      </c>
      <c r="K35" s="22">
        <f t="shared" si="5"/>
        <v>7.7478723150642475E-3</v>
      </c>
      <c r="L35" s="22"/>
      <c r="M35" s="22"/>
      <c r="N35" s="22"/>
      <c r="O35" s="22"/>
      <c r="P35" s="22"/>
      <c r="Q35" s="22"/>
      <c r="R35" s="22"/>
      <c r="S35" s="22"/>
      <c r="T35" s="22"/>
      <c r="AH35" s="22"/>
      <c r="AI35" s="22"/>
      <c r="AJ35" s="22"/>
      <c r="AK35" s="22"/>
      <c r="AL35" s="22"/>
    </row>
    <row r="36" spans="1:38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</row>
    <row r="37" spans="1:38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</row>
    <row r="38" spans="1:38" ht="19" x14ac:dyDescent="0.25">
      <c r="A38" s="5" t="s">
        <v>30</v>
      </c>
      <c r="B38" s="1">
        <v>31267000</v>
      </c>
      <c r="C38" s="1">
        <v>43291000</v>
      </c>
      <c r="D38" s="1">
        <v>31430000</v>
      </c>
      <c r="E38" s="1">
        <v>40393000</v>
      </c>
      <c r="F38" s="1">
        <v>113080000</v>
      </c>
      <c r="G38" s="1">
        <v>289431000</v>
      </c>
      <c r="H38" s="1">
        <v>436256000</v>
      </c>
      <c r="I38" s="1">
        <v>439478000</v>
      </c>
      <c r="J38" s="1">
        <v>545909000</v>
      </c>
      <c r="K38" s="1">
        <v>409840000</v>
      </c>
    </row>
    <row r="39" spans="1:38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</row>
    <row r="40" spans="1:38" ht="19" x14ac:dyDescent="0.25">
      <c r="A40" s="5" t="s">
        <v>32</v>
      </c>
      <c r="B40" s="1">
        <v>31267000</v>
      </c>
      <c r="C40" s="1">
        <v>43291000</v>
      </c>
      <c r="D40" s="1">
        <v>31430000</v>
      </c>
      <c r="E40" s="1">
        <v>40393000</v>
      </c>
      <c r="F40" s="1">
        <v>113080000</v>
      </c>
      <c r="G40" s="1">
        <v>289431000</v>
      </c>
      <c r="H40" s="1">
        <v>436256000</v>
      </c>
      <c r="I40" s="1">
        <v>439478000</v>
      </c>
      <c r="J40" s="1">
        <v>545909000</v>
      </c>
      <c r="K40" s="1">
        <v>409840000</v>
      </c>
    </row>
    <row r="41" spans="1:38" ht="19" x14ac:dyDescent="0.25">
      <c r="A41" s="5" t="s">
        <v>33</v>
      </c>
      <c r="B41" s="1">
        <v>17628000</v>
      </c>
      <c r="C41" s="1">
        <v>21706000</v>
      </c>
      <c r="D41" s="1">
        <v>24019000</v>
      </c>
      <c r="E41" s="1">
        <v>42365000</v>
      </c>
      <c r="F41" s="1">
        <v>56801000</v>
      </c>
      <c r="G41" s="1">
        <v>58332000</v>
      </c>
      <c r="H41" s="1">
        <v>52441000</v>
      </c>
      <c r="I41" s="1">
        <v>38662000</v>
      </c>
      <c r="J41" s="1">
        <v>44449000</v>
      </c>
      <c r="K41" s="1">
        <v>61217000</v>
      </c>
    </row>
    <row r="42" spans="1:38" ht="19" x14ac:dyDescent="0.25">
      <c r="A42" s="5" t="s">
        <v>34</v>
      </c>
      <c r="B42" s="1">
        <v>2243000</v>
      </c>
      <c r="C42" s="1">
        <v>3012000</v>
      </c>
      <c r="D42" s="1">
        <v>4557000</v>
      </c>
      <c r="E42" s="1">
        <v>1802000</v>
      </c>
      <c r="F42" s="1">
        <v>2692000</v>
      </c>
      <c r="G42" s="1">
        <v>5122000</v>
      </c>
      <c r="H42" s="1">
        <v>877000</v>
      </c>
      <c r="I42" s="1">
        <v>473000</v>
      </c>
      <c r="J42" s="1">
        <v>1155000</v>
      </c>
      <c r="K42" s="1">
        <v>5266000</v>
      </c>
    </row>
    <row r="43" spans="1:38" ht="19" x14ac:dyDescent="0.25">
      <c r="A43" s="5" t="s">
        <v>35</v>
      </c>
      <c r="B43" s="1">
        <v>6409000</v>
      </c>
      <c r="C43" s="1">
        <v>7309000</v>
      </c>
      <c r="D43" s="1">
        <v>12939000</v>
      </c>
      <c r="E43" s="1">
        <v>6665000</v>
      </c>
      <c r="F43" s="1">
        <v>4428000</v>
      </c>
      <c r="G43" s="1">
        <v>35655000</v>
      </c>
      <c r="H43" s="1">
        <v>50564000</v>
      </c>
      <c r="I43" s="1">
        <v>88203000</v>
      </c>
      <c r="J43" s="1">
        <v>70901000</v>
      </c>
      <c r="K43" s="1">
        <v>79208000</v>
      </c>
    </row>
    <row r="44" spans="1:38" ht="19" x14ac:dyDescent="0.25">
      <c r="A44" s="6" t="s">
        <v>36</v>
      </c>
      <c r="B44" s="10">
        <v>57547000</v>
      </c>
      <c r="C44" s="10">
        <v>75318000</v>
      </c>
      <c r="D44" s="10">
        <v>72945000</v>
      </c>
      <c r="E44" s="10">
        <v>91225000</v>
      </c>
      <c r="F44" s="10">
        <v>177001000</v>
      </c>
      <c r="G44" s="10">
        <v>388540000</v>
      </c>
      <c r="H44" s="10">
        <v>540138000</v>
      </c>
      <c r="I44" s="10">
        <v>566816000</v>
      </c>
      <c r="J44" s="10">
        <v>662414000</v>
      </c>
      <c r="K44" s="10">
        <v>555531000</v>
      </c>
    </row>
    <row r="45" spans="1:38" ht="19" x14ac:dyDescent="0.25">
      <c r="A45" s="5" t="s">
        <v>37</v>
      </c>
      <c r="B45" s="1">
        <v>33766000</v>
      </c>
      <c r="C45" s="1">
        <v>49579000</v>
      </c>
      <c r="D45" s="1">
        <v>56139000</v>
      </c>
      <c r="E45" s="1">
        <v>61238000</v>
      </c>
      <c r="F45" s="1">
        <v>83327000</v>
      </c>
      <c r="G45" s="1">
        <v>114367000</v>
      </c>
      <c r="H45" s="1">
        <v>301114000</v>
      </c>
      <c r="I45" s="1">
        <v>324929000</v>
      </c>
      <c r="J45" s="1">
        <v>364017000</v>
      </c>
      <c r="K45" s="1">
        <v>695757000</v>
      </c>
    </row>
    <row r="46" spans="1:38" ht="19" x14ac:dyDescent="0.25">
      <c r="A46" s="5" t="s">
        <v>38</v>
      </c>
      <c r="B46" s="1">
        <v>157210000</v>
      </c>
      <c r="C46" s="1">
        <v>176981000</v>
      </c>
      <c r="D46" s="1">
        <v>176981000</v>
      </c>
      <c r="E46" s="1">
        <v>176981000</v>
      </c>
      <c r="F46" s="1">
        <v>176981000</v>
      </c>
      <c r="G46" s="1">
        <v>199513000</v>
      </c>
      <c r="H46" s="1">
        <v>227821000</v>
      </c>
      <c r="I46" s="1">
        <v>227821000</v>
      </c>
      <c r="J46" s="1">
        <v>228569000</v>
      </c>
      <c r="K46" s="1">
        <v>702690000</v>
      </c>
    </row>
    <row r="47" spans="1:38" ht="19" x14ac:dyDescent="0.25">
      <c r="A47" s="5" t="s">
        <v>39</v>
      </c>
      <c r="B47" s="1">
        <v>303328000</v>
      </c>
      <c r="C47" s="1">
        <v>295162000</v>
      </c>
      <c r="D47" s="1">
        <v>273619000</v>
      </c>
      <c r="E47" s="1">
        <v>253862000</v>
      </c>
      <c r="F47" s="1">
        <v>235657000</v>
      </c>
      <c r="G47" s="1">
        <v>234330000</v>
      </c>
      <c r="H47" s="1">
        <v>233921000</v>
      </c>
      <c r="I47" s="1">
        <v>217075000</v>
      </c>
      <c r="J47" s="1">
        <v>200937000</v>
      </c>
      <c r="K47" s="1">
        <v>417067000</v>
      </c>
    </row>
    <row r="48" spans="1:38" ht="19" x14ac:dyDescent="0.25">
      <c r="A48" s="5" t="s">
        <v>40</v>
      </c>
      <c r="B48" s="1">
        <v>460538000</v>
      </c>
      <c r="C48" s="1">
        <v>472143000</v>
      </c>
      <c r="D48" s="1">
        <v>450600000</v>
      </c>
      <c r="E48" s="1">
        <v>430843000</v>
      </c>
      <c r="F48" s="1">
        <v>412638000</v>
      </c>
      <c r="G48" s="1">
        <v>433843000</v>
      </c>
      <c r="H48" s="1">
        <v>461742000</v>
      </c>
      <c r="I48" s="1">
        <v>444896000</v>
      </c>
      <c r="J48" s="1">
        <v>429506000</v>
      </c>
      <c r="K48" s="1">
        <v>1119757000</v>
      </c>
    </row>
    <row r="49" spans="1:11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>
        <v>18760000</v>
      </c>
      <c r="K49" s="1">
        <v>25122000</v>
      </c>
    </row>
    <row r="50" spans="1:11" ht="19" x14ac:dyDescent="0.25">
      <c r="A50" s="5" t="s">
        <v>42</v>
      </c>
      <c r="B50" s="1" t="s">
        <v>92</v>
      </c>
      <c r="C50" s="1" t="s">
        <v>92</v>
      </c>
      <c r="D50" s="1">
        <v>117358000</v>
      </c>
      <c r="E50" s="1">
        <v>410407000</v>
      </c>
      <c r="F50" s="1">
        <v>407782000</v>
      </c>
      <c r="G50" s="1">
        <v>414841000</v>
      </c>
      <c r="H50" s="1">
        <v>412293000</v>
      </c>
      <c r="I50" s="1">
        <v>511200000</v>
      </c>
      <c r="J50" s="1">
        <v>539264000</v>
      </c>
      <c r="K50" s="1">
        <v>454565000</v>
      </c>
    </row>
    <row r="51" spans="1:11" ht="19" x14ac:dyDescent="0.25">
      <c r="A51" s="5" t="s">
        <v>43</v>
      </c>
      <c r="B51" s="1">
        <v>10245000</v>
      </c>
      <c r="C51" s="1">
        <v>12236000</v>
      </c>
      <c r="D51" s="1">
        <v>2135000</v>
      </c>
      <c r="E51" s="1">
        <v>7729000</v>
      </c>
      <c r="F51" s="1">
        <v>11717000</v>
      </c>
      <c r="G51" s="1">
        <v>1825000</v>
      </c>
      <c r="H51" s="1">
        <v>1903000</v>
      </c>
      <c r="I51" s="1">
        <v>1896000</v>
      </c>
      <c r="J51" s="1">
        <v>2022000</v>
      </c>
      <c r="K51" s="1">
        <v>3857000</v>
      </c>
    </row>
    <row r="52" spans="1:11" ht="19" x14ac:dyDescent="0.25">
      <c r="A52" s="5" t="s">
        <v>44</v>
      </c>
      <c r="B52" s="1">
        <v>504549000</v>
      </c>
      <c r="C52" s="1">
        <v>533958000</v>
      </c>
      <c r="D52" s="1">
        <v>626232000</v>
      </c>
      <c r="E52" s="1">
        <v>910217000</v>
      </c>
      <c r="F52" s="1">
        <v>915464000</v>
      </c>
      <c r="G52" s="1">
        <v>964876000</v>
      </c>
      <c r="H52" s="1">
        <v>1177052000</v>
      </c>
      <c r="I52" s="1">
        <v>1282921000</v>
      </c>
      <c r="J52" s="1">
        <v>1353569000</v>
      </c>
      <c r="K52" s="1">
        <v>2299058000</v>
      </c>
    </row>
    <row r="53" spans="1:11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</row>
    <row r="54" spans="1:11" ht="20" thickBot="1" x14ac:dyDescent="0.3">
      <c r="A54" s="7" t="s">
        <v>46</v>
      </c>
      <c r="B54" s="11">
        <v>562096000</v>
      </c>
      <c r="C54" s="11">
        <v>609276000</v>
      </c>
      <c r="D54" s="11">
        <v>699177000</v>
      </c>
      <c r="E54" s="11">
        <v>1001442000</v>
      </c>
      <c r="F54" s="11">
        <v>1092465000</v>
      </c>
      <c r="G54" s="11">
        <v>1353416000</v>
      </c>
      <c r="H54" s="11">
        <v>1717190000</v>
      </c>
      <c r="I54" s="11">
        <v>1849737000</v>
      </c>
      <c r="J54" s="11">
        <v>2015983000</v>
      </c>
      <c r="K54" s="11">
        <v>2854589000</v>
      </c>
    </row>
    <row r="55" spans="1:11" ht="20" thickTop="1" x14ac:dyDescent="0.25">
      <c r="A55" s="5" t="s">
        <v>47</v>
      </c>
      <c r="B55" s="1">
        <v>25517000</v>
      </c>
      <c r="C55" s="1">
        <v>26738000</v>
      </c>
      <c r="D55" s="1">
        <v>23950000</v>
      </c>
      <c r="E55" s="1">
        <v>28507000</v>
      </c>
      <c r="F55" s="1">
        <v>28648000</v>
      </c>
      <c r="G55" s="1">
        <v>30428000</v>
      </c>
      <c r="H55" s="1">
        <v>21267000</v>
      </c>
      <c r="I55" s="1">
        <v>19388000</v>
      </c>
      <c r="J55" s="1">
        <v>27892000</v>
      </c>
      <c r="K55" s="1">
        <v>20578000</v>
      </c>
    </row>
    <row r="56" spans="1:11" ht="19" x14ac:dyDescent="0.25">
      <c r="A56" s="5" t="s">
        <v>48</v>
      </c>
      <c r="B56" s="1" t="s">
        <v>92</v>
      </c>
      <c r="C56" s="1" t="s">
        <v>92</v>
      </c>
      <c r="D56" s="1">
        <v>5100000</v>
      </c>
      <c r="E56" s="1">
        <v>7185000</v>
      </c>
      <c r="F56" s="1">
        <v>7185000</v>
      </c>
      <c r="G56" s="1">
        <v>12000000</v>
      </c>
      <c r="H56" s="1">
        <v>17500000</v>
      </c>
      <c r="I56" s="1">
        <v>17500000</v>
      </c>
      <c r="J56" s="1">
        <v>17500000</v>
      </c>
      <c r="K56" s="1">
        <v>20750000</v>
      </c>
    </row>
    <row r="57" spans="1:11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>
        <v>488200000</v>
      </c>
      <c r="J57" s="1">
        <v>20302000</v>
      </c>
      <c r="K57" s="1">
        <v>31940000</v>
      </c>
    </row>
    <row r="58" spans="1:11" ht="19" x14ac:dyDescent="0.25">
      <c r="A58" s="5" t="s">
        <v>50</v>
      </c>
      <c r="B58" s="1">
        <v>14091000</v>
      </c>
      <c r="C58" s="1">
        <v>21224000</v>
      </c>
      <c r="D58" s="1">
        <v>20304000</v>
      </c>
      <c r="E58" s="1">
        <v>19950000</v>
      </c>
      <c r="F58" s="1">
        <v>25581000</v>
      </c>
      <c r="G58" s="1">
        <v>31396000</v>
      </c>
      <c r="H58" s="1">
        <v>30604000</v>
      </c>
      <c r="I58" s="1">
        <v>27486000</v>
      </c>
      <c r="J58" s="1">
        <v>28351000</v>
      </c>
      <c r="K58" s="1">
        <v>53759000</v>
      </c>
    </row>
    <row r="59" spans="1:11" ht="19" x14ac:dyDescent="0.25">
      <c r="A59" s="5" t="s">
        <v>51</v>
      </c>
      <c r="B59" s="1">
        <v>17139000</v>
      </c>
      <c r="C59" s="1">
        <v>12923000</v>
      </c>
      <c r="D59" s="1">
        <v>16898000</v>
      </c>
      <c r="E59" s="1">
        <v>27631000</v>
      </c>
      <c r="F59" s="1">
        <v>50616000</v>
      </c>
      <c r="G59" s="1">
        <v>57579000</v>
      </c>
      <c r="H59" s="1">
        <v>76107000</v>
      </c>
      <c r="I59" s="1">
        <v>-440679000</v>
      </c>
      <c r="J59" s="1">
        <v>82565000</v>
      </c>
      <c r="K59" s="1">
        <v>117503000</v>
      </c>
    </row>
    <row r="60" spans="1:11" ht="19" x14ac:dyDescent="0.25">
      <c r="A60" s="6" t="s">
        <v>52</v>
      </c>
      <c r="B60" s="10">
        <v>56747000</v>
      </c>
      <c r="C60" s="10">
        <v>60885000</v>
      </c>
      <c r="D60" s="10">
        <v>66252000</v>
      </c>
      <c r="E60" s="10">
        <v>83273000</v>
      </c>
      <c r="F60" s="10">
        <v>112030000</v>
      </c>
      <c r="G60" s="10">
        <v>131403000</v>
      </c>
      <c r="H60" s="10">
        <v>145478000</v>
      </c>
      <c r="I60" s="10">
        <v>111895000</v>
      </c>
      <c r="J60" s="10">
        <v>176610000</v>
      </c>
      <c r="K60" s="10">
        <v>244530000</v>
      </c>
    </row>
    <row r="61" spans="1:11" ht="19" x14ac:dyDescent="0.25">
      <c r="A61" s="5" t="s">
        <v>53</v>
      </c>
      <c r="B61" s="1">
        <v>173375000</v>
      </c>
      <c r="C61" s="1">
        <v>383175000</v>
      </c>
      <c r="D61" s="1">
        <v>479779000</v>
      </c>
      <c r="E61" s="1">
        <v>702003000</v>
      </c>
      <c r="F61" s="1">
        <v>696576000</v>
      </c>
      <c r="G61" s="1">
        <v>1160127000</v>
      </c>
      <c r="H61" s="1">
        <v>1687505000</v>
      </c>
      <c r="I61" s="1">
        <v>1751426000</v>
      </c>
      <c r="J61" s="1">
        <v>1937955000</v>
      </c>
      <c r="K61" s="1">
        <v>2319974000</v>
      </c>
    </row>
    <row r="62" spans="1:11" ht="19" x14ac:dyDescent="0.25">
      <c r="A62" s="5" t="s">
        <v>50</v>
      </c>
      <c r="B62" s="1">
        <v>7193000</v>
      </c>
      <c r="C62" s="1">
        <v>9330000</v>
      </c>
      <c r="D62" s="1">
        <v>12016000</v>
      </c>
      <c r="E62" s="1">
        <v>8351000</v>
      </c>
      <c r="F62" s="1">
        <v>8440000</v>
      </c>
      <c r="G62" s="1">
        <v>26374000</v>
      </c>
      <c r="H62" s="1">
        <v>34458000</v>
      </c>
      <c r="I62" s="1">
        <v>32587000</v>
      </c>
      <c r="J62" s="1">
        <v>33428000</v>
      </c>
      <c r="K62" s="1">
        <v>33152000</v>
      </c>
    </row>
    <row r="63" spans="1:11" ht="19" x14ac:dyDescent="0.25">
      <c r="A63" s="5" t="s">
        <v>54</v>
      </c>
      <c r="B63" s="1">
        <v>593000</v>
      </c>
      <c r="C63" s="1">
        <v>606000</v>
      </c>
      <c r="D63" s="1" t="s">
        <v>92</v>
      </c>
      <c r="E63" s="1">
        <v>1238000</v>
      </c>
      <c r="F63" s="1">
        <v>1629000</v>
      </c>
      <c r="G63" s="1">
        <v>2303000</v>
      </c>
      <c r="H63" s="1">
        <v>1116000</v>
      </c>
      <c r="I63" s="1">
        <v>881000</v>
      </c>
      <c r="J63" s="1" t="s">
        <v>92</v>
      </c>
      <c r="K63" s="1">
        <v>1471000</v>
      </c>
    </row>
    <row r="64" spans="1:11" ht="19" x14ac:dyDescent="0.25">
      <c r="A64" s="5" t="s">
        <v>55</v>
      </c>
      <c r="B64" s="1">
        <v>2273000</v>
      </c>
      <c r="C64" s="1">
        <v>3531000</v>
      </c>
      <c r="D64" s="1">
        <v>142210000</v>
      </c>
      <c r="E64" s="1">
        <v>421332000</v>
      </c>
      <c r="F64" s="1">
        <v>410727000</v>
      </c>
      <c r="G64" s="1">
        <v>415998000</v>
      </c>
      <c r="H64" s="1">
        <v>556387000</v>
      </c>
      <c r="I64" s="1">
        <v>658621000</v>
      </c>
      <c r="J64" s="1">
        <v>510835000</v>
      </c>
      <c r="K64" s="1">
        <v>467023000</v>
      </c>
    </row>
    <row r="65" spans="1:38" ht="19" x14ac:dyDescent="0.25">
      <c r="A65" s="5" t="s">
        <v>56</v>
      </c>
      <c r="B65" s="1">
        <v>183434000</v>
      </c>
      <c r="C65" s="1">
        <v>396642000</v>
      </c>
      <c r="D65" s="1">
        <v>634005000</v>
      </c>
      <c r="E65" s="1">
        <v>1132924000</v>
      </c>
      <c r="F65" s="1">
        <v>1117372000</v>
      </c>
      <c r="G65" s="1">
        <v>1604802000</v>
      </c>
      <c r="H65" s="1">
        <v>2279466000</v>
      </c>
      <c r="I65" s="1">
        <v>2443515000</v>
      </c>
      <c r="J65" s="1">
        <v>2482218000</v>
      </c>
      <c r="K65" s="1">
        <v>2821620000</v>
      </c>
    </row>
    <row r="66" spans="1:38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</row>
    <row r="67" spans="1:38" ht="19" x14ac:dyDescent="0.25">
      <c r="A67" s="6" t="s">
        <v>58</v>
      </c>
      <c r="B67" s="10">
        <v>240181000</v>
      </c>
      <c r="C67" s="10">
        <v>457527000</v>
      </c>
      <c r="D67" s="10">
        <v>700257000</v>
      </c>
      <c r="E67" s="10">
        <v>1216197000</v>
      </c>
      <c r="F67" s="10">
        <v>1229402000</v>
      </c>
      <c r="G67" s="10">
        <v>1736205000</v>
      </c>
      <c r="H67" s="10">
        <v>2424944000</v>
      </c>
      <c r="I67" s="10">
        <v>2555410000</v>
      </c>
      <c r="J67" s="10">
        <v>2658828000</v>
      </c>
      <c r="K67" s="10">
        <v>3053601000</v>
      </c>
    </row>
    <row r="68" spans="1:38" ht="19" x14ac:dyDescent="0.25">
      <c r="A68" s="5" t="s">
        <v>59</v>
      </c>
      <c r="B68" s="1" t="s">
        <v>92</v>
      </c>
      <c r="C68" s="1" t="s">
        <v>92</v>
      </c>
      <c r="D68" s="1">
        <v>10000</v>
      </c>
      <c r="E68" s="1">
        <v>10000</v>
      </c>
      <c r="F68" s="1">
        <v>10000</v>
      </c>
      <c r="G68" s="1">
        <v>10000</v>
      </c>
      <c r="H68" s="1">
        <v>9000</v>
      </c>
      <c r="I68" s="1">
        <v>9000</v>
      </c>
      <c r="J68" s="1">
        <v>9000</v>
      </c>
      <c r="K68" s="1">
        <v>8000</v>
      </c>
    </row>
    <row r="69" spans="1:38" ht="19" x14ac:dyDescent="0.25">
      <c r="A69" s="5" t="s">
        <v>60</v>
      </c>
      <c r="B69" s="1" t="s">
        <v>92</v>
      </c>
      <c r="C69" s="1" t="s">
        <v>92</v>
      </c>
      <c r="D69" s="1">
        <v>-14032000</v>
      </c>
      <c r="E69" s="1">
        <v>-164062000</v>
      </c>
      <c r="F69" s="1">
        <v>-130966000</v>
      </c>
      <c r="G69" s="1">
        <v>-394410000</v>
      </c>
      <c r="H69" s="1">
        <v>-736587000</v>
      </c>
      <c r="I69" s="1">
        <v>-751578000</v>
      </c>
      <c r="J69" s="1">
        <v>-708804000</v>
      </c>
      <c r="K69" s="1">
        <v>-703717000</v>
      </c>
    </row>
    <row r="70" spans="1:38" ht="19" x14ac:dyDescent="0.25">
      <c r="A70" s="5" t="s">
        <v>61</v>
      </c>
      <c r="B70" s="1">
        <v>-6971000</v>
      </c>
      <c r="C70" s="1">
        <v>-15728000</v>
      </c>
      <c r="D70" s="1">
        <v>-2000000</v>
      </c>
      <c r="E70" s="1">
        <v>-1000000</v>
      </c>
      <c r="F70" s="1">
        <v>-1000000</v>
      </c>
      <c r="G70" s="1">
        <v>-53086000</v>
      </c>
      <c r="H70" s="1">
        <v>-73621000</v>
      </c>
      <c r="I70" s="1">
        <v>27000</v>
      </c>
      <c r="J70" s="1">
        <v>12000</v>
      </c>
      <c r="K70" s="1">
        <v>-448000</v>
      </c>
    </row>
    <row r="71" spans="1:38" ht="19" x14ac:dyDescent="0.25">
      <c r="A71" s="5" t="s">
        <v>62</v>
      </c>
      <c r="B71" s="1">
        <v>322686000</v>
      </c>
      <c r="C71" s="1">
        <v>161248000</v>
      </c>
      <c r="D71" s="1">
        <v>642000</v>
      </c>
      <c r="E71" s="1">
        <v>34293000</v>
      </c>
      <c r="F71" s="1">
        <v>12470000</v>
      </c>
      <c r="G71" s="1">
        <v>72912000</v>
      </c>
      <c r="H71" s="1">
        <v>103744000</v>
      </c>
      <c r="I71" s="1">
        <v>45673000</v>
      </c>
      <c r="J71" s="1">
        <v>63428000</v>
      </c>
      <c r="K71" s="1">
        <v>505145000</v>
      </c>
    </row>
    <row r="72" spans="1:38" ht="19" x14ac:dyDescent="0.25">
      <c r="A72" s="6" t="s">
        <v>63</v>
      </c>
      <c r="B72" s="10">
        <v>315715000</v>
      </c>
      <c r="C72" s="10">
        <v>145520000</v>
      </c>
      <c r="D72" s="10">
        <v>-15380000</v>
      </c>
      <c r="E72" s="10">
        <v>-130759000</v>
      </c>
      <c r="F72" s="10">
        <v>-119486000</v>
      </c>
      <c r="G72" s="10">
        <v>-374574000</v>
      </c>
      <c r="H72" s="10">
        <v>-706455000</v>
      </c>
      <c r="I72" s="10">
        <v>-705869000</v>
      </c>
      <c r="J72" s="10">
        <v>-645355000</v>
      </c>
      <c r="K72" s="10">
        <v>-199012000</v>
      </c>
    </row>
    <row r="73" spans="1:38" ht="20" thickBot="1" x14ac:dyDescent="0.3">
      <c r="A73" s="7" t="s">
        <v>64</v>
      </c>
      <c r="B73" s="11">
        <v>555896000</v>
      </c>
      <c r="C73" s="11">
        <v>603047000</v>
      </c>
      <c r="D73" s="11">
        <v>684877000</v>
      </c>
      <c r="E73" s="11">
        <v>1085438000</v>
      </c>
      <c r="F73" s="11">
        <v>1109916000</v>
      </c>
      <c r="G73" s="11">
        <v>1361631000</v>
      </c>
      <c r="H73" s="11">
        <v>1718489000</v>
      </c>
      <c r="I73" s="11">
        <v>1849541000</v>
      </c>
      <c r="J73" s="11">
        <v>2013473000</v>
      </c>
      <c r="K73" s="11">
        <v>2854589000</v>
      </c>
    </row>
    <row r="74" spans="1:38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</row>
    <row r="75" spans="1:38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</row>
    <row r="76" spans="1:38" ht="19" x14ac:dyDescent="0.25">
      <c r="A76" s="5" t="s">
        <v>66</v>
      </c>
      <c r="B76" s="1">
        <v>25438000</v>
      </c>
      <c r="C76" s="1">
        <v>36808000</v>
      </c>
      <c r="D76" s="1">
        <v>18518000</v>
      </c>
      <c r="E76" s="1">
        <v>21500000</v>
      </c>
      <c r="F76" s="1">
        <v>33146000</v>
      </c>
      <c r="G76" s="1">
        <v>88021000</v>
      </c>
      <c r="H76" s="1">
        <v>117695000</v>
      </c>
      <c r="I76" s="1">
        <v>-14991000</v>
      </c>
      <c r="J76" s="1">
        <v>42774000</v>
      </c>
      <c r="K76" s="1">
        <v>110456000</v>
      </c>
    </row>
    <row r="77" spans="1:38" ht="19" x14ac:dyDescent="0.25">
      <c r="A77" s="5" t="s">
        <v>13</v>
      </c>
      <c r="B77" s="1">
        <v>29054000</v>
      </c>
      <c r="C77" s="1">
        <v>32842000</v>
      </c>
      <c r="D77" s="1">
        <v>32636000</v>
      </c>
      <c r="E77" s="1">
        <v>31894000</v>
      </c>
      <c r="F77" s="1">
        <v>32095000</v>
      </c>
      <c r="G77" s="1">
        <v>35635000</v>
      </c>
      <c r="H77" s="1">
        <v>44583000</v>
      </c>
      <c r="I77" s="1">
        <v>53889000</v>
      </c>
      <c r="J77" s="1">
        <v>62800000</v>
      </c>
      <c r="K77" s="1">
        <v>124022000</v>
      </c>
    </row>
    <row r="78" spans="1:38" ht="19" x14ac:dyDescent="0.25">
      <c r="A78" s="5" t="s">
        <v>67</v>
      </c>
      <c r="B78" s="1">
        <v>-1430000</v>
      </c>
      <c r="C78" s="1">
        <v>-63000</v>
      </c>
      <c r="D78" s="1">
        <v>3586000</v>
      </c>
      <c r="E78" s="1">
        <v>15678000</v>
      </c>
      <c r="F78" s="1">
        <v>55068000</v>
      </c>
      <c r="G78" s="1">
        <v>28698000</v>
      </c>
      <c r="H78" s="1">
        <v>27591000</v>
      </c>
      <c r="I78" s="1">
        <v>1264000</v>
      </c>
      <c r="J78" s="1">
        <v>13265000</v>
      </c>
      <c r="K78" s="1">
        <v>48618000</v>
      </c>
    </row>
    <row r="79" spans="1:38" ht="19" x14ac:dyDescent="0.25">
      <c r="A79" s="5" t="s">
        <v>68</v>
      </c>
      <c r="B79" s="1" t="s">
        <v>92</v>
      </c>
      <c r="C79" s="1" t="s">
        <v>92</v>
      </c>
      <c r="D79" s="1">
        <v>4877000</v>
      </c>
      <c r="E79" s="1">
        <v>1728000</v>
      </c>
      <c r="F79" s="1">
        <v>2531000</v>
      </c>
      <c r="G79" s="1">
        <v>5479000</v>
      </c>
      <c r="H79" s="1">
        <v>4826000</v>
      </c>
      <c r="I79" s="1">
        <v>4777000</v>
      </c>
      <c r="J79" s="1">
        <v>8805000</v>
      </c>
      <c r="K79" s="1">
        <v>8068000</v>
      </c>
    </row>
    <row r="80" spans="1:38" ht="19" x14ac:dyDescent="0.25">
      <c r="A80" s="14" t="s">
        <v>104</v>
      </c>
      <c r="B80" s="15" t="e">
        <f t="shared" ref="B80:K80" si="6">B79/B3</f>
        <v>#VALUE!</v>
      </c>
      <c r="C80" s="15" t="e">
        <f t="shared" si="6"/>
        <v>#VALUE!</v>
      </c>
      <c r="D80" s="15">
        <f t="shared" si="6"/>
        <v>1.4754777831226156E-2</v>
      </c>
      <c r="E80" s="15">
        <f t="shared" si="6"/>
        <v>4.5685158404297791E-3</v>
      </c>
      <c r="F80" s="15">
        <f t="shared" si="6"/>
        <v>5.8868405505858928E-3</v>
      </c>
      <c r="G80" s="15">
        <f t="shared" si="6"/>
        <v>9.5636570558808032E-3</v>
      </c>
      <c r="H80" s="15">
        <f t="shared" si="6"/>
        <v>7.006357405528141E-3</v>
      </c>
      <c r="I80" s="15">
        <f t="shared" si="6"/>
        <v>1.1748127234898603E-2</v>
      </c>
      <c r="J80" s="15">
        <f t="shared" si="6"/>
        <v>1.4999412288785959E-2</v>
      </c>
      <c r="K80" s="15">
        <f t="shared" si="6"/>
        <v>8.612554602400584E-3</v>
      </c>
      <c r="L80" s="15"/>
      <c r="M80" s="15"/>
      <c r="N80" s="15"/>
      <c r="O80" s="15"/>
      <c r="P80" s="15"/>
      <c r="Q80" s="15"/>
      <c r="R80" s="15"/>
      <c r="S80" s="15"/>
      <c r="T80" s="15"/>
      <c r="AH80" s="15"/>
      <c r="AI80" s="15"/>
      <c r="AJ80" s="15"/>
      <c r="AK80" s="15"/>
      <c r="AL80" s="15"/>
    </row>
    <row r="81" spans="1:46" ht="19" x14ac:dyDescent="0.25">
      <c r="A81" s="5" t="s">
        <v>69</v>
      </c>
      <c r="B81" s="1">
        <v>11933000</v>
      </c>
      <c r="C81" s="1">
        <v>3725000</v>
      </c>
      <c r="D81" s="1">
        <v>416000</v>
      </c>
      <c r="E81" s="1">
        <v>-10301000</v>
      </c>
      <c r="F81" s="1">
        <v>-7440000</v>
      </c>
      <c r="G81" s="1">
        <v>31937000</v>
      </c>
      <c r="H81" s="1">
        <v>9704000</v>
      </c>
      <c r="I81" s="1">
        <v>7297000</v>
      </c>
      <c r="J81" s="1">
        <v>36143000</v>
      </c>
      <c r="K81" s="1">
        <v>-50957000</v>
      </c>
    </row>
    <row r="82" spans="1:46" ht="19" x14ac:dyDescent="0.25">
      <c r="A82" s="5" t="s">
        <v>70</v>
      </c>
      <c r="B82" s="1">
        <v>-3101000</v>
      </c>
      <c r="C82" s="1">
        <v>-3632000</v>
      </c>
      <c r="D82" s="1">
        <v>-414000</v>
      </c>
      <c r="E82" s="1">
        <v>-7754000</v>
      </c>
      <c r="F82" s="1">
        <v>-10481000</v>
      </c>
      <c r="G82" s="1">
        <v>-1923000</v>
      </c>
      <c r="H82" s="1">
        <v>-895000</v>
      </c>
      <c r="I82" s="1">
        <v>23611000</v>
      </c>
      <c r="J82" s="1">
        <v>-10804000</v>
      </c>
      <c r="K82" s="1">
        <v>-19177000</v>
      </c>
    </row>
    <row r="83" spans="1:46" ht="21" x14ac:dyDescent="0.25">
      <c r="A83" s="5" t="s">
        <v>34</v>
      </c>
      <c r="B83" s="1">
        <v>-1750000</v>
      </c>
      <c r="C83" s="1">
        <v>-769000</v>
      </c>
      <c r="D83" s="1">
        <v>-1545000</v>
      </c>
      <c r="E83" s="1">
        <v>2755000</v>
      </c>
      <c r="F83" s="1">
        <v>-890000</v>
      </c>
      <c r="G83" s="1">
        <v>-2430000</v>
      </c>
      <c r="H83" s="1">
        <v>4244000</v>
      </c>
      <c r="I83" s="1">
        <v>404000</v>
      </c>
      <c r="J83" s="1">
        <v>-681000</v>
      </c>
      <c r="K83" s="1">
        <v>-4112000</v>
      </c>
      <c r="R83" s="63" t="s">
        <v>126</v>
      </c>
      <c r="S83" s="64"/>
    </row>
    <row r="84" spans="1:46" ht="19" x14ac:dyDescent="0.25">
      <c r="A84" s="5" t="s">
        <v>47</v>
      </c>
      <c r="B84" s="1">
        <v>13456000</v>
      </c>
      <c r="C84" s="1">
        <v>5042000</v>
      </c>
      <c r="D84" s="1">
        <v>263000</v>
      </c>
      <c r="E84" s="1">
        <v>7428000</v>
      </c>
      <c r="F84" s="1">
        <v>4210000</v>
      </c>
      <c r="G84" s="1">
        <v>14506000</v>
      </c>
      <c r="H84" s="1">
        <v>-6268000</v>
      </c>
      <c r="I84" s="1">
        <v>-10938000</v>
      </c>
      <c r="J84" s="1">
        <v>30928000</v>
      </c>
      <c r="K84" s="1">
        <v>-14721000</v>
      </c>
      <c r="R84" s="65" t="s">
        <v>127</v>
      </c>
      <c r="S84" s="66"/>
    </row>
    <row r="85" spans="1:46" ht="20" x14ac:dyDescent="0.25">
      <c r="A85" s="5" t="s">
        <v>71</v>
      </c>
      <c r="B85" s="1">
        <v>4205000</v>
      </c>
      <c r="C85" s="1">
        <v>699000</v>
      </c>
      <c r="D85" s="1">
        <v>4611000</v>
      </c>
      <c r="E85" s="1">
        <v>-6013000</v>
      </c>
      <c r="F85" s="1">
        <v>-1156000</v>
      </c>
      <c r="G85" s="1">
        <v>17431000</v>
      </c>
      <c r="H85" s="1">
        <v>19506000</v>
      </c>
      <c r="I85" s="1">
        <v>-5276000</v>
      </c>
      <c r="J85" s="1">
        <v>6269000</v>
      </c>
      <c r="K85" s="1" t="s">
        <v>92</v>
      </c>
      <c r="R85" s="23" t="s">
        <v>128</v>
      </c>
      <c r="S85" s="24">
        <f>K17</f>
        <v>88628000</v>
      </c>
    </row>
    <row r="86" spans="1:46" ht="20" x14ac:dyDescent="0.25">
      <c r="A86" s="5" t="s">
        <v>72</v>
      </c>
      <c r="B86" s="1">
        <v>1948000</v>
      </c>
      <c r="C86" s="1">
        <v>6093000</v>
      </c>
      <c r="D86" s="1">
        <v>21630000</v>
      </c>
      <c r="E86" s="1">
        <v>48318000</v>
      </c>
      <c r="F86" s="1">
        <v>15621000</v>
      </c>
      <c r="G86" s="1">
        <v>-5371000</v>
      </c>
      <c r="H86" s="1">
        <v>-88000</v>
      </c>
      <c r="I86" s="1">
        <v>-21098000</v>
      </c>
      <c r="J86" s="1">
        <v>25502000</v>
      </c>
      <c r="K86" s="1" t="s">
        <v>92</v>
      </c>
      <c r="R86" s="23" t="s">
        <v>129</v>
      </c>
      <c r="S86" s="24">
        <f>K56</f>
        <v>20750000</v>
      </c>
    </row>
    <row r="87" spans="1:46" ht="20" x14ac:dyDescent="0.25">
      <c r="A87" s="6" t="s">
        <v>73</v>
      </c>
      <c r="B87" s="10">
        <v>66943000</v>
      </c>
      <c r="C87" s="10">
        <v>79405000</v>
      </c>
      <c r="D87" s="10">
        <v>81663000</v>
      </c>
      <c r="E87" s="10">
        <v>108817000</v>
      </c>
      <c r="F87" s="10">
        <v>131021000</v>
      </c>
      <c r="G87" s="10">
        <v>184399000</v>
      </c>
      <c r="H87" s="10">
        <v>204311000</v>
      </c>
      <c r="I87" s="10">
        <v>31138000</v>
      </c>
      <c r="J87" s="10">
        <v>189289000</v>
      </c>
      <c r="K87" s="10">
        <v>240207000</v>
      </c>
      <c r="R87" s="23" t="s">
        <v>130</v>
      </c>
      <c r="S87" s="24">
        <f>K61</f>
        <v>2319974000</v>
      </c>
    </row>
    <row r="88" spans="1:46" ht="20" x14ac:dyDescent="0.25">
      <c r="A88" s="5" t="s">
        <v>74</v>
      </c>
      <c r="B88" s="1">
        <v>-7287000</v>
      </c>
      <c r="C88" s="1">
        <v>-16650000</v>
      </c>
      <c r="D88" s="1">
        <v>-19488000</v>
      </c>
      <c r="E88" s="1">
        <v>-15377000</v>
      </c>
      <c r="F88" s="1">
        <v>-37722000</v>
      </c>
      <c r="G88" s="1">
        <v>-40860000</v>
      </c>
      <c r="H88" s="1">
        <v>-57890000</v>
      </c>
      <c r="I88" s="1">
        <v>-52560000</v>
      </c>
      <c r="J88" s="1">
        <v>-54074000</v>
      </c>
      <c r="K88" s="1">
        <v>-100057000</v>
      </c>
      <c r="R88" s="35" t="s">
        <v>131</v>
      </c>
      <c r="S88" s="36">
        <f>S85/(S86+S87)</f>
        <v>3.7863498644009293E-2</v>
      </c>
    </row>
    <row r="89" spans="1:46" ht="20" customHeight="1" x14ac:dyDescent="0.25">
      <c r="A89" s="14" t="s">
        <v>105</v>
      </c>
      <c r="B89" s="15">
        <f t="shared" ref="B89:K89" si="7">(-1*B88)/B3</f>
        <v>3.4534072006407311E-2</v>
      </c>
      <c r="C89" s="15">
        <f t="shared" si="7"/>
        <v>5.9511682518577295E-2</v>
      </c>
      <c r="D89" s="15">
        <f t="shared" si="7"/>
        <v>5.8958603726662978E-2</v>
      </c>
      <c r="E89" s="15">
        <f t="shared" si="7"/>
        <v>4.0653974582343003E-2</v>
      </c>
      <c r="F89" s="15">
        <f t="shared" si="7"/>
        <v>8.7737415744449251E-2</v>
      </c>
      <c r="G89" s="15">
        <f t="shared" si="7"/>
        <v>7.1321596514562796E-2</v>
      </c>
      <c r="H89" s="15">
        <f t="shared" si="7"/>
        <v>8.4044349400336532E-2</v>
      </c>
      <c r="I89" s="15">
        <f t="shared" si="7"/>
        <v>0.12926137062304177</v>
      </c>
      <c r="J89" s="15">
        <f t="shared" si="7"/>
        <v>9.211564112479409E-2</v>
      </c>
      <c r="K89" s="15">
        <f t="shared" si="7"/>
        <v>0.10681040850922102</v>
      </c>
      <c r="R89" s="23" t="s">
        <v>106</v>
      </c>
      <c r="S89" s="24">
        <f>K27</f>
        <v>50515000</v>
      </c>
      <c r="T89" s="15"/>
      <c r="AH89" s="15"/>
      <c r="AI89" s="15"/>
      <c r="AJ89" s="15"/>
      <c r="AK89" s="15"/>
      <c r="AL89" s="15"/>
      <c r="AS89" s="25" t="s">
        <v>106</v>
      </c>
      <c r="AT89" s="26">
        <f>AL27</f>
        <v>0</v>
      </c>
    </row>
    <row r="90" spans="1:46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>
        <v>-46000000</v>
      </c>
      <c r="H90" s="1">
        <v>-53000000</v>
      </c>
      <c r="I90" s="1" t="s">
        <v>92</v>
      </c>
      <c r="J90" s="1" t="s">
        <v>92</v>
      </c>
      <c r="K90" s="1" t="s">
        <v>92</v>
      </c>
      <c r="R90" s="23" t="s">
        <v>19</v>
      </c>
      <c r="S90" s="24">
        <f>K25</f>
        <v>161438000</v>
      </c>
    </row>
    <row r="91" spans="1:46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 t="s">
        <v>92</v>
      </c>
      <c r="G91" s="1" t="s">
        <v>92</v>
      </c>
      <c r="H91" s="1" t="s">
        <v>92</v>
      </c>
      <c r="I91" s="1" t="s">
        <v>92</v>
      </c>
      <c r="J91" s="1" t="s">
        <v>92</v>
      </c>
      <c r="K91" s="1" t="s">
        <v>92</v>
      </c>
      <c r="R91" s="35" t="s">
        <v>132</v>
      </c>
      <c r="S91" s="36">
        <f>S89/S90</f>
        <v>0.31290650280603077</v>
      </c>
    </row>
    <row r="92" spans="1:46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 t="s">
        <v>92</v>
      </c>
      <c r="I92" s="1" t="s">
        <v>92</v>
      </c>
      <c r="J92" s="1" t="s">
        <v>92</v>
      </c>
      <c r="K92" s="1" t="s">
        <v>92</v>
      </c>
      <c r="R92" s="37" t="s">
        <v>133</v>
      </c>
      <c r="S92" s="38">
        <f>S88*(1-S91)</f>
        <v>2.601576369931146E-2</v>
      </c>
    </row>
    <row r="93" spans="1:46" ht="19" x14ac:dyDescent="0.25">
      <c r="A93" s="5" t="s">
        <v>78</v>
      </c>
      <c r="B93" s="1">
        <v>150000</v>
      </c>
      <c r="C93" s="1">
        <v>-37712000</v>
      </c>
      <c r="D93" s="1">
        <v>327000</v>
      </c>
      <c r="E93" s="1">
        <v>683000</v>
      </c>
      <c r="F93" s="1">
        <v>680000</v>
      </c>
      <c r="G93" s="1">
        <v>444000</v>
      </c>
      <c r="H93" s="1">
        <v>196000</v>
      </c>
      <c r="I93" s="1">
        <v>282000</v>
      </c>
      <c r="J93" s="1">
        <v>-36842000</v>
      </c>
      <c r="K93" s="1">
        <v>-406509000</v>
      </c>
      <c r="R93" s="65" t="s">
        <v>134</v>
      </c>
      <c r="S93" s="66"/>
    </row>
    <row r="94" spans="1:46" ht="20" x14ac:dyDescent="0.25">
      <c r="A94" s="6" t="s">
        <v>79</v>
      </c>
      <c r="B94" s="10">
        <v>-7137000</v>
      </c>
      <c r="C94" s="10">
        <v>-54362000</v>
      </c>
      <c r="D94" s="10">
        <v>-19161000</v>
      </c>
      <c r="E94" s="10">
        <v>-14694000</v>
      </c>
      <c r="F94" s="10">
        <v>-37042000</v>
      </c>
      <c r="G94" s="10">
        <v>-86416000</v>
      </c>
      <c r="H94" s="10">
        <v>-110694000</v>
      </c>
      <c r="I94" s="10">
        <v>-52278000</v>
      </c>
      <c r="J94" s="10">
        <v>-90916000</v>
      </c>
      <c r="K94" s="10">
        <v>-506566000</v>
      </c>
      <c r="R94" s="23" t="s">
        <v>135</v>
      </c>
      <c r="S94" s="39">
        <v>4.095E-2</v>
      </c>
    </row>
    <row r="95" spans="1:46" ht="20" x14ac:dyDescent="0.25">
      <c r="A95" s="5" t="s">
        <v>80</v>
      </c>
      <c r="B95" s="1">
        <v>-17360000</v>
      </c>
      <c r="C95" s="1">
        <v>-186962000</v>
      </c>
      <c r="D95" s="1">
        <v>-15176000</v>
      </c>
      <c r="E95" s="1">
        <v>-5667000</v>
      </c>
      <c r="F95" s="1">
        <v>-7207000</v>
      </c>
      <c r="G95" s="1">
        <v>-712516000</v>
      </c>
      <c r="H95" s="1">
        <v>-12093000</v>
      </c>
      <c r="I95" s="1">
        <v>-17665000</v>
      </c>
      <c r="J95" s="1">
        <v>-17682000</v>
      </c>
      <c r="K95" s="1">
        <v>-741257000</v>
      </c>
      <c r="R95" s="23" t="s">
        <v>136</v>
      </c>
      <c r="S95" s="40" cm="1">
        <f t="array" ref="S95">_FV(A1,"Beta")</f>
        <v>1.3140000000000001</v>
      </c>
    </row>
    <row r="96" spans="1:46" ht="20" x14ac:dyDescent="0.25">
      <c r="A96" s="5" t="s">
        <v>81</v>
      </c>
      <c r="B96" s="1" t="s">
        <v>92</v>
      </c>
      <c r="C96" s="1" t="s">
        <v>92</v>
      </c>
      <c r="D96" s="1">
        <v>156946000</v>
      </c>
      <c r="E96" s="1">
        <v>136000</v>
      </c>
      <c r="F96" s="1">
        <v>480000</v>
      </c>
      <c r="G96" s="1">
        <v>1209000</v>
      </c>
      <c r="H96" s="1">
        <v>2863000</v>
      </c>
      <c r="I96" s="1">
        <v>2571000</v>
      </c>
      <c r="J96" s="1">
        <v>8186000</v>
      </c>
      <c r="K96" s="1">
        <v>925000</v>
      </c>
      <c r="R96" s="23" t="s">
        <v>137</v>
      </c>
      <c r="S96" s="39">
        <v>8.4000000000000005E-2</v>
      </c>
    </row>
    <row r="97" spans="1:46" ht="20" x14ac:dyDescent="0.25">
      <c r="A97" s="5" t="s">
        <v>82</v>
      </c>
      <c r="B97" s="1" t="s">
        <v>92</v>
      </c>
      <c r="C97" s="1" t="s">
        <v>92</v>
      </c>
      <c r="D97" s="1">
        <v>-156946000</v>
      </c>
      <c r="E97" s="1">
        <v>-1583000</v>
      </c>
      <c r="F97" s="1" t="s">
        <v>92</v>
      </c>
      <c r="G97" s="1">
        <v>-342383000</v>
      </c>
      <c r="H97" s="1">
        <v>-458166000</v>
      </c>
      <c r="I97" s="1" t="s">
        <v>92</v>
      </c>
      <c r="J97" s="1" t="s">
        <v>92</v>
      </c>
      <c r="K97" s="1">
        <v>-94315000</v>
      </c>
      <c r="R97" s="37" t="s">
        <v>138</v>
      </c>
      <c r="S97" s="38">
        <f>(S94)+((S95)*(S96-S94))</f>
        <v>9.7517700000000013E-2</v>
      </c>
    </row>
    <row r="98" spans="1:46" ht="19" x14ac:dyDescent="0.25">
      <c r="A98" s="5" t="s">
        <v>83</v>
      </c>
      <c r="B98" s="1" t="s">
        <v>92</v>
      </c>
      <c r="C98" s="1">
        <v>-205374000</v>
      </c>
      <c r="D98" s="1" t="s">
        <v>92</v>
      </c>
      <c r="E98" s="1">
        <v>-169282000</v>
      </c>
      <c r="F98" s="1">
        <v>-1974000</v>
      </c>
      <c r="G98" s="1" t="s">
        <v>92</v>
      </c>
      <c r="H98" s="1">
        <v>-243000</v>
      </c>
      <c r="I98" s="1">
        <v>-234000</v>
      </c>
      <c r="J98" s="1">
        <v>-1401000</v>
      </c>
      <c r="K98" s="1">
        <v>-1876000</v>
      </c>
      <c r="R98" s="65" t="s">
        <v>139</v>
      </c>
      <c r="S98" s="66"/>
    </row>
    <row r="99" spans="1:46" ht="20" x14ac:dyDescent="0.25">
      <c r="A99" s="5" t="s">
        <v>84</v>
      </c>
      <c r="B99" s="1">
        <v>-20634000</v>
      </c>
      <c r="C99" s="1">
        <v>379384000</v>
      </c>
      <c r="D99" s="1">
        <v>-59064000</v>
      </c>
      <c r="E99" s="1">
        <v>91213000</v>
      </c>
      <c r="F99" s="1">
        <v>-13002000</v>
      </c>
      <c r="G99" s="1">
        <v>1163610000</v>
      </c>
      <c r="H99" s="1">
        <v>531987000</v>
      </c>
      <c r="I99" s="1">
        <v>73178000</v>
      </c>
      <c r="J99" s="1">
        <v>651000</v>
      </c>
      <c r="K99" s="1">
        <v>972248000</v>
      </c>
      <c r="R99" s="23" t="s">
        <v>140</v>
      </c>
      <c r="S99" s="24">
        <f>S86+S87</f>
        <v>2340724000</v>
      </c>
    </row>
    <row r="100" spans="1:46" ht="20" x14ac:dyDescent="0.25">
      <c r="A100" s="6" t="s">
        <v>85</v>
      </c>
      <c r="B100" s="10">
        <v>-37994000</v>
      </c>
      <c r="C100" s="10">
        <v>-12952000</v>
      </c>
      <c r="D100" s="10">
        <v>-74240000</v>
      </c>
      <c r="E100" s="10">
        <v>-85183000</v>
      </c>
      <c r="F100" s="10">
        <v>-21703000</v>
      </c>
      <c r="G100" s="10">
        <v>109920000</v>
      </c>
      <c r="H100" s="10">
        <v>64348000</v>
      </c>
      <c r="I100" s="10">
        <v>57850000</v>
      </c>
      <c r="J100" s="10">
        <v>-10246000</v>
      </c>
      <c r="K100" s="10">
        <v>135725000</v>
      </c>
      <c r="R100" s="35" t="s">
        <v>141</v>
      </c>
      <c r="S100" s="36">
        <f>S99/S103</f>
        <v>0.28526066610304218</v>
      </c>
    </row>
    <row r="101" spans="1:46" ht="20" x14ac:dyDescent="0.25">
      <c r="A101" s="5" t="s">
        <v>86</v>
      </c>
      <c r="B101" s="1" t="s">
        <v>92</v>
      </c>
      <c r="C101" s="1">
        <v>-67000</v>
      </c>
      <c r="D101" s="1">
        <v>-123000</v>
      </c>
      <c r="E101" s="1">
        <v>23000</v>
      </c>
      <c r="F101" s="1">
        <v>411000</v>
      </c>
      <c r="G101" s="1">
        <v>-844000</v>
      </c>
      <c r="H101" s="1">
        <v>691000</v>
      </c>
      <c r="I101" s="1">
        <v>295000</v>
      </c>
      <c r="J101" s="1">
        <v>14000</v>
      </c>
      <c r="K101" s="1">
        <v>-808000</v>
      </c>
      <c r="R101" s="23" t="s">
        <v>142</v>
      </c>
      <c r="S101" s="41" cm="1">
        <f t="array" ref="S101">_FV(A1,"Market cap",TRUE)</f>
        <v>5864837713</v>
      </c>
    </row>
    <row r="102" spans="1:46" ht="20" x14ac:dyDescent="0.25">
      <c r="A102" s="6" t="s">
        <v>87</v>
      </c>
      <c r="B102" s="10">
        <v>21812000</v>
      </c>
      <c r="C102" s="10">
        <v>12024000</v>
      </c>
      <c r="D102" s="10">
        <v>-11861000</v>
      </c>
      <c r="E102" s="10">
        <v>8963000</v>
      </c>
      <c r="F102" s="10">
        <v>72687000</v>
      </c>
      <c r="G102" s="10">
        <v>207059000</v>
      </c>
      <c r="H102" s="10">
        <v>158656000</v>
      </c>
      <c r="I102" s="10">
        <v>37005000</v>
      </c>
      <c r="J102" s="10">
        <v>88141000</v>
      </c>
      <c r="K102" s="10">
        <v>-131442000</v>
      </c>
      <c r="R102" s="35" t="s">
        <v>143</v>
      </c>
      <c r="S102" s="36">
        <f>S101/S103</f>
        <v>0.71473933389695776</v>
      </c>
    </row>
    <row r="103" spans="1:46" ht="20" x14ac:dyDescent="0.25">
      <c r="A103" s="5" t="s">
        <v>88</v>
      </c>
      <c r="B103" s="1">
        <v>9455000</v>
      </c>
      <c r="C103" s="1">
        <v>31267000</v>
      </c>
      <c r="D103" s="1">
        <v>43291000</v>
      </c>
      <c r="E103" s="1">
        <v>31430000</v>
      </c>
      <c r="F103" s="1">
        <v>40393000</v>
      </c>
      <c r="G103" s="1">
        <v>113080000</v>
      </c>
      <c r="H103" s="1">
        <v>320139000</v>
      </c>
      <c r="I103" s="1">
        <v>478795000</v>
      </c>
      <c r="J103" s="1">
        <v>515800000</v>
      </c>
      <c r="K103" s="1">
        <v>603941000</v>
      </c>
      <c r="R103" s="37" t="s">
        <v>144</v>
      </c>
      <c r="S103" s="42">
        <f>S99+S101</f>
        <v>8205561713</v>
      </c>
    </row>
    <row r="104" spans="1:46" ht="20" thickBot="1" x14ac:dyDescent="0.3">
      <c r="A104" s="7" t="s">
        <v>89</v>
      </c>
      <c r="B104" s="11">
        <v>31267000</v>
      </c>
      <c r="C104" s="11">
        <v>43291000</v>
      </c>
      <c r="D104" s="11">
        <v>31430000</v>
      </c>
      <c r="E104" s="11">
        <v>40393000</v>
      </c>
      <c r="F104" s="11">
        <v>113080000</v>
      </c>
      <c r="G104" s="11">
        <v>320139000</v>
      </c>
      <c r="H104" s="11">
        <v>478795000</v>
      </c>
      <c r="I104" s="11">
        <v>515800000</v>
      </c>
      <c r="J104" s="11">
        <v>603941000</v>
      </c>
      <c r="K104" s="11">
        <v>472499000</v>
      </c>
      <c r="R104" s="65" t="s">
        <v>145</v>
      </c>
      <c r="S104" s="66"/>
    </row>
    <row r="105" spans="1:46" ht="21" thickTop="1" x14ac:dyDescent="0.25">
      <c r="A105" s="14" t="s">
        <v>107</v>
      </c>
      <c r="B105" s="1"/>
      <c r="C105" s="15">
        <f>(C106/B106)-1</f>
        <v>-0.59573219793482635</v>
      </c>
      <c r="D105" s="15">
        <f>(D106/C106)-1</f>
        <v>1.5780569722602316</v>
      </c>
      <c r="E105" s="15">
        <f>(E106/D106)-1</f>
        <v>0.50285484519501411</v>
      </c>
      <c r="F105" s="15">
        <f>(F106/E106)-1</f>
        <v>-1.508989726027421E-3</v>
      </c>
      <c r="G105" s="15">
        <f>(G106/F106)-1</f>
        <v>4.8103409468483127E-2</v>
      </c>
      <c r="H105" s="15">
        <f t="shared" ref="H105:K105" si="8">(H106/G106)-1</f>
        <v>-4.3758372789839184E-2</v>
      </c>
      <c r="I105" s="15">
        <f t="shared" si="8"/>
        <v>-1.2290926979509775</v>
      </c>
      <c r="J105" s="15">
        <f t="shared" si="8"/>
        <v>-7.2238353094949117</v>
      </c>
      <c r="K105" s="15">
        <f t="shared" si="8"/>
        <v>5.1174930809213537E-2</v>
      </c>
      <c r="L105" s="15"/>
      <c r="M105" s="15"/>
      <c r="N105" s="15"/>
      <c r="O105" s="15"/>
      <c r="P105" s="15"/>
      <c r="Q105" s="15"/>
      <c r="R105" s="27" t="s">
        <v>108</v>
      </c>
      <c r="S105" s="28">
        <f>(S100*S92)+(S102*S97)</f>
        <v>7.71210100232083E-2</v>
      </c>
      <c r="T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27" t="s">
        <v>108</v>
      </c>
      <c r="AT105" s="28">
        <f>(AT100*AT92)+(AT102*AT97)</f>
        <v>0</v>
      </c>
    </row>
    <row r="106" spans="1:46" ht="19" x14ac:dyDescent="0.25">
      <c r="A106" s="5" t="s">
        <v>90</v>
      </c>
      <c r="B106" s="1">
        <v>59656000</v>
      </c>
      <c r="C106" s="1">
        <v>24117000</v>
      </c>
      <c r="D106" s="1">
        <v>62175000</v>
      </c>
      <c r="E106" s="1">
        <v>93440000</v>
      </c>
      <c r="F106" s="1">
        <v>93299000</v>
      </c>
      <c r="G106" s="1">
        <v>97787000</v>
      </c>
      <c r="H106" s="1">
        <v>93508000</v>
      </c>
      <c r="I106" s="1">
        <v>-21422000</v>
      </c>
      <c r="J106" s="1">
        <v>133327000</v>
      </c>
      <c r="K106" s="1">
        <v>140150000</v>
      </c>
      <c r="L106" s="43">
        <f>K106*(1+$S$106)</f>
        <v>153744189.79663408</v>
      </c>
      <c r="M106" s="43">
        <f t="shared" ref="M106:P106" si="9">L106*(1+$S$106)</f>
        <v>168656981.06474096</v>
      </c>
      <c r="N106" s="43">
        <f t="shared" si="9"/>
        <v>185016274.75807959</v>
      </c>
      <c r="O106" s="43">
        <f t="shared" si="9"/>
        <v>202962377.89420184</v>
      </c>
      <c r="P106" s="43">
        <f t="shared" si="9"/>
        <v>222649206.91075519</v>
      </c>
      <c r="Q106" s="44" t="s">
        <v>146</v>
      </c>
      <c r="R106" s="45" t="s">
        <v>147</v>
      </c>
      <c r="S106" s="46">
        <f>(SUM(L4:P4)/5)</f>
        <v>9.6997429872522953E-2</v>
      </c>
    </row>
    <row r="107" spans="1:46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44"/>
      <c r="M107" s="44"/>
      <c r="N107" s="44"/>
      <c r="O107" s="44"/>
      <c r="P107" s="47">
        <f>P106*(1+S107)/(S108-S107)</f>
        <v>4378568968.2894659</v>
      </c>
      <c r="Q107" s="48" t="s">
        <v>148</v>
      </c>
      <c r="R107" s="49" t="s">
        <v>149</v>
      </c>
      <c r="S107" s="50">
        <v>2.5000000000000001E-2</v>
      </c>
    </row>
    <row r="108" spans="1:46" ht="19" x14ac:dyDescent="0.25">
      <c r="L108" s="47">
        <f t="shared" ref="L108:N108" si="10">L107+L106</f>
        <v>153744189.79663408</v>
      </c>
      <c r="M108" s="47">
        <f t="shared" si="10"/>
        <v>168656981.06474096</v>
      </c>
      <c r="N108" s="47">
        <f t="shared" si="10"/>
        <v>185016274.75807959</v>
      </c>
      <c r="O108" s="47">
        <f>O107+O106</f>
        <v>202962377.89420184</v>
      </c>
      <c r="P108" s="47">
        <f>P107+P106</f>
        <v>4601218175.2002211</v>
      </c>
      <c r="Q108" s="48" t="s">
        <v>144</v>
      </c>
      <c r="R108" s="51" t="s">
        <v>150</v>
      </c>
      <c r="S108" s="52">
        <f>S105</f>
        <v>7.71210100232083E-2</v>
      </c>
    </row>
    <row r="109" spans="1:46" ht="19" x14ac:dyDescent="0.25">
      <c r="L109" s="61" t="s">
        <v>151</v>
      </c>
      <c r="M109" s="62"/>
    </row>
    <row r="110" spans="1:46" ht="20" x14ac:dyDescent="0.25">
      <c r="L110" s="53" t="s">
        <v>152</v>
      </c>
      <c r="M110" s="41">
        <f>NPV(S108,L108,M108,N108,O108,P108)</f>
        <v>3760530445.2469234</v>
      </c>
    </row>
    <row r="111" spans="1:46" ht="20" x14ac:dyDescent="0.25">
      <c r="L111" s="53" t="s">
        <v>153</v>
      </c>
      <c r="M111" s="41">
        <f>K40</f>
        <v>409840000</v>
      </c>
    </row>
    <row r="112" spans="1:46" ht="20" x14ac:dyDescent="0.25">
      <c r="L112" s="53" t="s">
        <v>140</v>
      </c>
      <c r="M112" s="41">
        <f>S99</f>
        <v>2340724000</v>
      </c>
    </row>
    <row r="113" spans="12:13" ht="20" x14ac:dyDescent="0.25">
      <c r="L113" s="53" t="s">
        <v>154</v>
      </c>
      <c r="M113" s="41">
        <f>M110+M111-M112</f>
        <v>1829646445.2469234</v>
      </c>
    </row>
    <row r="114" spans="12:13" ht="20" x14ac:dyDescent="0.25">
      <c r="L114" s="53" t="s">
        <v>159</v>
      </c>
      <c r="M114" s="54" cm="1">
        <f t="array" ref="M114">_FV(A1,"Shares outstanding",TRUE)</f>
        <v>89192270</v>
      </c>
    </row>
    <row r="115" spans="12:13" ht="20" x14ac:dyDescent="0.25">
      <c r="L115" s="55" t="s">
        <v>155</v>
      </c>
      <c r="M115" s="56">
        <f>M113/M114</f>
        <v>20.513509133100026</v>
      </c>
    </row>
    <row r="116" spans="12:13" ht="20" x14ac:dyDescent="0.25">
      <c r="L116" s="53" t="s">
        <v>156</v>
      </c>
      <c r="M116" s="57" cm="1">
        <f t="array" ref="M116">_FV(A1,"Price")</f>
        <v>65.754999999999995</v>
      </c>
    </row>
    <row r="117" spans="12:13" ht="20" x14ac:dyDescent="0.25">
      <c r="L117" s="58" t="s">
        <v>157</v>
      </c>
      <c r="M117" s="59">
        <f>M115/M116-1</f>
        <v>-0.68803118952018816</v>
      </c>
    </row>
    <row r="118" spans="12:13" ht="20" x14ac:dyDescent="0.25">
      <c r="L118" s="58" t="s">
        <v>158</v>
      </c>
      <c r="M118" s="60" t="str">
        <f>IF(M115&gt;M116,"BUY","SELL")</f>
        <v>SELL</v>
      </c>
    </row>
  </sheetData>
  <mergeCells count="6">
    <mergeCell ref="L109:M109"/>
    <mergeCell ref="R83:S83"/>
    <mergeCell ref="R84:S84"/>
    <mergeCell ref="R93:S93"/>
    <mergeCell ref="R98:S98"/>
    <mergeCell ref="R104:S104"/>
  </mergeCells>
  <hyperlinks>
    <hyperlink ref="A1" r:id="rId1" tooltip="https://roic.ai/company/PLNT" display="ROIC.AI | PLNT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www.sec.gov/Archives/edgar/data/1637207/000156459016014027/0001564590-16-014027-index.htm" xr:uid="{00000000-0004-0000-0000-000007000000}"/>
    <hyperlink ref="D74" r:id="rId7" tooltip="https://www.sec.gov/Archives/edgar/data/1637207/000156459016014027/0001564590-16-014027-index.htm" xr:uid="{00000000-0004-0000-0000-000008000000}"/>
    <hyperlink ref="E36" r:id="rId8" tooltip="https://www.sec.gov/Archives/edgar/data/1637207/000156459017003401/0001564590-17-003401-index.htm" xr:uid="{00000000-0004-0000-0000-00000A000000}"/>
    <hyperlink ref="E74" r:id="rId9" tooltip="https://www.sec.gov/Archives/edgar/data/1637207/000156459017003401/0001564590-17-003401-index.htm" xr:uid="{00000000-0004-0000-0000-00000B000000}"/>
    <hyperlink ref="F36" r:id="rId10" tooltip="https://www.sec.gov/Archives/edgar/data/1637207/000156459018004109/0001564590-18-004109-index.htm" xr:uid="{00000000-0004-0000-0000-00000D000000}"/>
    <hyperlink ref="F74" r:id="rId11" tooltip="https://www.sec.gov/Archives/edgar/data/1637207/000156459018004109/0001564590-18-004109-index.htm" xr:uid="{00000000-0004-0000-0000-00000E000000}"/>
    <hyperlink ref="G36" r:id="rId12" tooltip="https://www.sec.gov/Archives/edgar/data/1637207/000163720719000009/0001637207-19-000009-index.htm" xr:uid="{00000000-0004-0000-0000-000010000000}"/>
    <hyperlink ref="G74" r:id="rId13" tooltip="https://www.sec.gov/Archives/edgar/data/1637207/000163720719000009/0001637207-19-000009-index.htm" xr:uid="{00000000-0004-0000-0000-000011000000}"/>
    <hyperlink ref="H36" r:id="rId14" tooltip="https://www.sec.gov/Archives/edgar/data/1637207/000163720720000008/0001637207-20-000008-index.htm" xr:uid="{00000000-0004-0000-0000-000013000000}"/>
    <hyperlink ref="H74" r:id="rId15" tooltip="https://www.sec.gov/Archives/edgar/data/1637207/000163720720000008/0001637207-20-000008-index.htm" xr:uid="{00000000-0004-0000-0000-000014000000}"/>
    <hyperlink ref="I36" r:id="rId16" tooltip="https://www.sec.gov/Archives/edgar/data/1637207/000163720721000009/0001637207-21-000009-index.htm" xr:uid="{00000000-0004-0000-0000-000016000000}"/>
    <hyperlink ref="I74" r:id="rId17" tooltip="https://www.sec.gov/Archives/edgar/data/1637207/000163720721000009/0001637207-21-000009-index.htm" xr:uid="{00000000-0004-0000-0000-000017000000}"/>
    <hyperlink ref="J36" r:id="rId18" tooltip="https://www.sec.gov/Archives/edgar/data/1637207/000163720722000011/0001637207-22-000011-index.htm" xr:uid="{00000000-0004-0000-0000-000019000000}"/>
    <hyperlink ref="J74" r:id="rId19" tooltip="https://www.sec.gov/Archives/edgar/data/1637207/000163720722000011/0001637207-22-000011-index.htm" xr:uid="{00000000-0004-0000-0000-00001A000000}"/>
    <hyperlink ref="K36" r:id="rId20" tooltip="https://www.sec.gov/Archives/edgar/data/1637207/000163720723000005/0001637207-23-000005-index.htm" xr:uid="{00000000-0004-0000-0000-00001C000000}"/>
    <hyperlink ref="K74" r:id="rId21" tooltip="https://www.sec.gov/Archives/edgar/data/1637207/000163720723000005/0001637207-23-000005-index.htm" xr:uid="{00000000-0004-0000-0000-00001D000000}"/>
    <hyperlink ref="L1" r:id="rId22" display="https://finbox.com/NASDAQGS:PLNT/explorer/revenue_proj" xr:uid="{17DFF9EB-95AD-0147-991A-07156E0455DB}"/>
  </hyperlinks>
  <pageMargins left="0.7" right="0.7" top="0.75" bottom="0.75" header="0.3" footer="0.3"/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2023-03-13T22:36:24Z</dcterms:created>
  <dcterms:modified xsi:type="dcterms:W3CDTF">2023-06-23T18:49:38Z</dcterms:modified>
</cp:coreProperties>
</file>