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5233B073-E265-C44A-B2CD-59FAC33B25B6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" l="1"/>
  <c r="AC13" i="1"/>
  <c r="AB13" i="1"/>
  <c r="AB10" i="1"/>
  <c r="AD7" i="1"/>
  <c r="AB7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C108" i="2" l="1"/>
  <c r="D105" i="2"/>
  <c r="K16" i="2"/>
  <c r="I16" i="2"/>
  <c r="J102" i="2"/>
  <c r="J19" i="2"/>
  <c r="J16" i="2"/>
  <c r="J22" i="2"/>
  <c r="K19" i="2"/>
  <c r="K22" i="2"/>
  <c r="I19" i="2"/>
  <c r="J100" i="2"/>
  <c r="D112" i="2"/>
  <c r="W108" i="1"/>
  <c r="X108" i="1"/>
  <c r="Y108" i="1"/>
  <c r="Z108" i="1"/>
  <c r="X105" i="1"/>
  <c r="Y105" i="1" s="1"/>
  <c r="Z105" i="1" s="1"/>
  <c r="AA105" i="1" s="1"/>
  <c r="W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95" i="1" a="1"/>
  <c r="AD95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D13" i="1"/>
  <c r="AE10" i="1"/>
  <c r="AD10" i="1"/>
  <c r="AC10" i="1"/>
  <c r="AE7" i="1"/>
  <c r="AC7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108" i="2" l="1"/>
  <c r="E105" i="2"/>
  <c r="AD19" i="1"/>
  <c r="AE22" i="1"/>
  <c r="AD22" i="1"/>
  <c r="AC19" i="1"/>
  <c r="AD16" i="1"/>
  <c r="AE16" i="1"/>
  <c r="AC16" i="1"/>
  <c r="AD106" i="1"/>
  <c r="X112" i="1"/>
  <c r="AD103" i="1"/>
  <c r="AD102" i="1" s="1"/>
  <c r="E108" i="2" l="1"/>
  <c r="F105" i="2"/>
  <c r="AE19" i="1"/>
  <c r="AD100" i="1"/>
  <c r="F108" i="2" l="1"/>
  <c r="G105" i="2"/>
  <c r="J94" i="2" l="1"/>
  <c r="J97" i="2" s="1"/>
  <c r="J105" i="2" s="1"/>
  <c r="J108" i="2" s="1"/>
  <c r="AD94" i="1"/>
  <c r="AD97" i="1" s="1"/>
  <c r="AD105" i="1" s="1"/>
  <c r="AD108" i="1" s="1"/>
  <c r="AA107" i="1" l="1"/>
  <c r="AA108" i="1" s="1"/>
  <c r="X110" i="1"/>
  <c r="X113" i="1" s="1"/>
  <c r="X115" i="1" s="1"/>
  <c r="D110" i="2"/>
  <c r="D113" i="2" s="1"/>
  <c r="D115" i="2" s="1"/>
  <c r="G107" i="2"/>
  <c r="G108" i="2" s="1"/>
  <c r="D118" i="2" l="1"/>
  <c r="D117" i="2"/>
  <c r="X118" i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<sst xmlns="http://schemas.openxmlformats.org/spreadsheetml/2006/main" count="1031" uniqueCount="167">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</sst>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1'!$B$107:$V$107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Holdings"/>
      <sheetName val="Treasuries"/>
      <sheetName val="All Stars"/>
      <sheetName val="ROIC Port"/>
      <sheetName val="To Be Modeled"/>
      <sheetName val="7 Powers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>
            <v>3.7229999999999999E-2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1.3364</v>
    <v>-0.22</v>
    <v>-4.8280000000000003E-4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457.3</v>
    <v>Specialty Retailers</v>
    <v>Stock</v>
    <v>45100.774908483596</v>
    <v>0</v>
    <v>453.11</v>
    <v>22684126229</v>
    <v>ULTA BEAUTY, INC.</v>
    <v>ULTA BEAUTY, INC.</v>
    <v>455.13</v>
    <v>18.5349</v>
    <v>455.71</v>
    <v>455.49</v>
    <v>49801590</v>
    <v>ULTA</v>
    <v>ULTA BEAUTY, INC. (XNAS:ULTA)</v>
    <v>281692</v>
    <v>1475448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zoomScale="80" zoomScaleNormal="80" workbookViewId="0">
      <pane xSplit="1" ySplit="1" topLeftCell="S74" activePane="bottomRight" state="frozen"/>
      <selection pane="topRight"/>
      <selection pane="bottomLeft"/>
      <selection pane="bottomRight" activeCell="X89" sqref="X89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2027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11092000000</v>
      </c>
      <c r="X3" s="26">
        <v>11653000000</v>
      </c>
      <c r="Y3" s="26">
        <v>12390000000</v>
      </c>
      <c r="Z3" s="26">
        <v>12944000000</v>
      </c>
      <c r="AA3" s="26">
        <v>13613000000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8.6598746081504752E-2</v>
      </c>
      <c r="X4" s="16">
        <f t="shared" si="0"/>
        <v>5.0576992426974332E-2</v>
      </c>
      <c r="Y4" s="16">
        <f t="shared" si="0"/>
        <v>6.3245516176092087E-2</v>
      </c>
      <c r="Z4" s="16">
        <f t="shared" si="0"/>
        <v>4.4713478611783763E-2</v>
      </c>
      <c r="AA4" s="16">
        <f t="shared" si="0"/>
        <v>5.1684177997527891E-2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112</v>
      </c>
      <c r="AC6" s="19" t="s">
        <v>113</v>
      </c>
      <c r="AD6" s="19" t="s">
        <v>114</v>
      </c>
      <c r="AE6" s="19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V107/V3</f>
        <v>0.11461598746081504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AD101/V3</f>
        <v>2.2221910490791537</v>
      </c>
      <c r="AD16" s="64">
        <f>AD101/V28</f>
        <v>18.258193949974565</v>
      </c>
      <c r="AE16" s="65">
        <f>AD101/V107</f>
        <v>19.388142076068377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1927000000</v>
      </c>
      <c r="X19" s="59">
        <v>1997000000</v>
      </c>
      <c r="Y19" s="59">
        <v>2158000000</v>
      </c>
      <c r="Z19" s="59">
        <v>2301000000</v>
      </c>
      <c r="AA19" s="59">
        <v>2440000000</v>
      </c>
      <c r="AB19" s="46">
        <f>V40-V56-V61</f>
        <v>-1165299000</v>
      </c>
      <c r="AC19" s="64">
        <f>AD101/W3</f>
        <v>2.0450889135412909</v>
      </c>
      <c r="AD19" s="66">
        <f>AD101/W28</f>
        <v>17.917951207740916</v>
      </c>
      <c r="AE19" s="65">
        <f>AD101/W106</f>
        <v>23.10698403687481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15">
        <f t="shared" si="3"/>
        <v>0.12058803578079469</v>
      </c>
      <c r="W20" s="16">
        <f t="shared" ref="W20" si="4">(W19/V19)-1</f>
        <v>0.10047628293719235</v>
      </c>
      <c r="X20" s="16">
        <f t="shared" ref="X20" si="5">(X19/W19)-1</f>
        <v>3.6325895173845435E-2</v>
      </c>
      <c r="Y20" s="16">
        <f t="shared" ref="Y20" si="6">(Y19/X19)-1</f>
        <v>8.0620931397095585E-2</v>
      </c>
      <c r="Z20" s="16">
        <f t="shared" ref="Z20" si="7">(Z19/Y19)-1</f>
        <v>6.6265060240963791E-2</v>
      </c>
      <c r="AA20" s="16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0.17372881355932204</v>
      </c>
      <c r="X21" s="60">
        <f t="shared" ref="X21:AA21" si="9">X19/X3</f>
        <v>0.17137217883806746</v>
      </c>
      <c r="Y21" s="60">
        <f t="shared" si="9"/>
        <v>0.17417271993543179</v>
      </c>
      <c r="Z21" s="60">
        <f t="shared" si="9"/>
        <v>0.17776576019777504</v>
      </c>
      <c r="AA21" s="60">
        <f t="shared" si="9"/>
        <v>0.17924043194005729</v>
      </c>
      <c r="AD21" s="18" t="s">
        <v>165</v>
      </c>
      <c r="AE21" s="19" t="s">
        <v>166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D22" s="69">
        <f>(-1*V98)/AD101</f>
        <v>0</v>
      </c>
      <c r="AE22" s="70">
        <f>V107/AD101</f>
        <v>5.1577917887982848E-2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1266000000</v>
      </c>
      <c r="X28" s="61">
        <v>1318000000</v>
      </c>
      <c r="Y28" s="61">
        <v>1411000000</v>
      </c>
      <c r="Z28" s="61">
        <v>1456000000</v>
      </c>
      <c r="AA28" s="61">
        <v>1540000000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6">W28/W3</f>
        <v>0.1141363144608727</v>
      </c>
      <c r="X30" s="62">
        <f t="shared" si="16"/>
        <v>0.11310392173689179</v>
      </c>
      <c r="Y30" s="62">
        <f t="shared" si="16"/>
        <v>0.11388216303470541</v>
      </c>
      <c r="Z30" s="62">
        <f t="shared" si="16"/>
        <v>0.11248454882571075</v>
      </c>
      <c r="AA30" s="62">
        <f t="shared" si="16"/>
        <v>0.11312715786380666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25.27</v>
      </c>
      <c r="X31" s="63">
        <v>26.32</v>
      </c>
      <c r="Y31" s="63">
        <v>28.17</v>
      </c>
      <c r="Z31" s="63">
        <v>29.07</v>
      </c>
      <c r="AA31" s="63">
        <v>30.74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73" t="s">
        <v>124</v>
      </c>
      <c r="AD83" s="74"/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75" t="s">
        <v>125</v>
      </c>
      <c r="AD84" s="76"/>
    </row>
    <row r="85" spans="1:38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47" t="s">
        <v>126</v>
      </c>
      <c r="AD85" s="48">
        <f>V17</f>
        <v>4943000</v>
      </c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47" t="s">
        <v>127</v>
      </c>
      <c r="AD86" s="48">
        <f>V56</f>
        <v>283293000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47" t="s">
        <v>128</v>
      </c>
      <c r="AD87" s="48">
        <f>V61</f>
        <v>1619883000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49" t="s">
        <v>129</v>
      </c>
      <c r="AD88" s="50">
        <f>AD85/(AD86+AD87)</f>
        <v>2.5972374599091204E-3</v>
      </c>
    </row>
    <row r="89" spans="1:38" ht="20" customHeight="1" x14ac:dyDescent="0.25">
      <c r="A89" s="14" t="s">
        <v>104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47" t="s">
        <v>105</v>
      </c>
      <c r="AD89" s="48">
        <f>V27</f>
        <v>401163000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AC90" s="47" t="s">
        <v>19</v>
      </c>
      <c r="AD90" s="48">
        <f>V25</f>
        <v>1640273000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AC91" s="49" t="s">
        <v>130</v>
      </c>
      <c r="AD91" s="50">
        <f>AD89/AD90</f>
        <v>0.24457087326317023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AC92" s="51" t="s">
        <v>131</v>
      </c>
      <c r="AD92" s="52">
        <f>AD88*(1-AD91)</f>
        <v>1.9620288262673291E-3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77" t="s">
        <v>132</v>
      </c>
      <c r="AD93" s="78"/>
    </row>
    <row r="94" spans="1:38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47" t="s">
        <v>133</v>
      </c>
      <c r="AD94" s="53">
        <f>[1]Treasuries!$C$8</f>
        <v>3.7229999999999999E-2</v>
      </c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AC95" s="47" t="s">
        <v>134</v>
      </c>
      <c r="AD95" s="54" cm="1">
        <f t="array" ref="AD95">_FV(A1,"Beta")</f>
        <v>1.3364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AC96" s="47" t="s">
        <v>135</v>
      </c>
      <c r="AD96" s="53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51" t="s">
        <v>136</v>
      </c>
      <c r="AD97" s="52">
        <f>(AD94)+((AD95)*(AD96-AD94))</f>
        <v>9.9733428000000013E-2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AC98" s="77" t="s">
        <v>137</v>
      </c>
      <c r="AD98" s="78"/>
    </row>
    <row r="99" spans="1:39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47" t="s">
        <v>138</v>
      </c>
      <c r="AD99" s="48">
        <f>AD86+AD87</f>
        <v>1903176000</v>
      </c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49" t="s">
        <v>139</v>
      </c>
      <c r="AD100" s="50">
        <f>AD99/AD103</f>
        <v>7.7404832066336249E-2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AC101" s="47" t="s">
        <v>140</v>
      </c>
      <c r="AD101" s="39" cm="1">
        <f t="array" ref="AD101">_FV(A1,"Market cap",TRUE)</f>
        <v>22684126229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49" t="s">
        <v>141</v>
      </c>
      <c r="AD102" s="50">
        <f>AD101/AD103</f>
        <v>0.9225951679336637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51" t="s">
        <v>142</v>
      </c>
      <c r="AD103" s="55">
        <f>AD99+AD101</f>
        <v>24587302229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75" t="s">
        <v>143</v>
      </c>
      <c r="AD104" s="76"/>
    </row>
    <row r="105" spans="1:39" ht="21" thickTop="1" x14ac:dyDescent="0.25">
      <c r="A105" s="14" t="s">
        <v>161</v>
      </c>
      <c r="C105" s="1" t="e">
        <f t="shared" ref="C105:U105" si="22">(C22*(1-$AD$91))+C77+C88+C81</f>
        <v>#VALUE!</v>
      </c>
      <c r="D105" s="1" t="e">
        <f t="shared" si="22"/>
        <v>#VALUE!</v>
      </c>
      <c r="E105" s="1">
        <f t="shared" si="22"/>
        <v>3804746.6251044795</v>
      </c>
      <c r="F105" s="1">
        <f t="shared" si="22"/>
        <v>4978642.8326260298</v>
      </c>
      <c r="G105" s="1">
        <f t="shared" si="22"/>
        <v>-42619595.769728571</v>
      </c>
      <c r="H105" s="1">
        <f t="shared" si="22"/>
        <v>-50903876.002958044</v>
      </c>
      <c r="I105" s="1">
        <f t="shared" si="22"/>
        <v>108285761.27449515</v>
      </c>
      <c r="J105" s="1">
        <f t="shared" si="22"/>
        <v>90469436.302981257</v>
      </c>
      <c r="K105" s="1">
        <f t="shared" si="22"/>
        <v>122341417.52013233</v>
      </c>
      <c r="L105" s="1">
        <f t="shared" si="22"/>
        <v>113600536.04552412</v>
      </c>
      <c r="M105" s="1">
        <f t="shared" si="22"/>
        <v>135926516.76946461</v>
      </c>
      <c r="N105" s="1">
        <f t="shared" si="22"/>
        <v>175021445.04969603</v>
      </c>
      <c r="O105" s="1">
        <f t="shared" si="22"/>
        <v>123574500.57947671</v>
      </c>
      <c r="P105" s="1">
        <f t="shared" si="22"/>
        <v>299453122.48631787</v>
      </c>
      <c r="Q105" s="1">
        <f t="shared" si="22"/>
        <v>371827694.36429179</v>
      </c>
      <c r="R105" s="1">
        <f t="shared" si="22"/>
        <v>559763908.56339157</v>
      </c>
      <c r="S105" s="1">
        <f t="shared" si="22"/>
        <v>760842653.52779698</v>
      </c>
      <c r="T105" s="1">
        <f t="shared" si="22"/>
        <v>462414725.79381603</v>
      </c>
      <c r="U105" s="1">
        <f t="shared" si="22"/>
        <v>578224248.50802279</v>
      </c>
      <c r="V105" s="1">
        <f>(V22*(1-$AD$91))+V77+V88+V81</f>
        <v>1167099721.3622367</v>
      </c>
      <c r="W105" s="28">
        <f>V105*(1+$AD$106)</f>
        <v>1236383175.0954633</v>
      </c>
      <c r="X105" s="28">
        <f t="shared" ref="X105:AA105" si="23">W105*(1+$AD$106)</f>
        <v>1309779556.6902452</v>
      </c>
      <c r="Y105" s="28">
        <f t="shared" si="23"/>
        <v>1387533025.1006017</v>
      </c>
      <c r="Z105" s="28">
        <f t="shared" si="23"/>
        <v>1469902233.4795353</v>
      </c>
      <c r="AA105" s="28">
        <f t="shared" si="23"/>
        <v>1557161189.6095037</v>
      </c>
      <c r="AB105" s="29" t="s">
        <v>163</v>
      </c>
      <c r="AC105" s="23" t="s">
        <v>107</v>
      </c>
      <c r="AD105" s="24">
        <f>(AD100*AD92)+(AD102*AD97)</f>
        <v>9.2165449266066513E-2</v>
      </c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19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67">
        <v>981700000</v>
      </c>
      <c r="X106" s="67">
        <v>1053000000</v>
      </c>
      <c r="Y106" s="67">
        <v>1138000000</v>
      </c>
      <c r="Z106" s="67">
        <v>1324000000</v>
      </c>
      <c r="AA106" s="67">
        <v>1403000000</v>
      </c>
      <c r="AB106" s="29" t="s">
        <v>164</v>
      </c>
      <c r="AC106" s="30" t="s">
        <v>144</v>
      </c>
      <c r="AD106" s="31">
        <f>(SUM(W4:AA4)/5)</f>
        <v>5.9363782258776567E-2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29"/>
      <c r="X107" s="29"/>
      <c r="Y107" s="29"/>
      <c r="Z107" s="29"/>
      <c r="AA107" s="32">
        <f>AA105*(1+AD107)/(AD108-AD107)</f>
        <v>23763560532.842613</v>
      </c>
      <c r="AB107" s="33" t="s">
        <v>145</v>
      </c>
      <c r="AC107" s="34" t="s">
        <v>146</v>
      </c>
      <c r="AD107" s="35">
        <v>2.5000000000000001E-2</v>
      </c>
    </row>
    <row r="108" spans="1:39" ht="19" x14ac:dyDescent="0.25">
      <c r="W108" s="32">
        <f t="shared" ref="W108:Z108" si="25">W107+W105</f>
        <v>1236383175.0954633</v>
      </c>
      <c r="X108" s="32">
        <f t="shared" si="25"/>
        <v>1309779556.6902452</v>
      </c>
      <c r="Y108" s="32">
        <f t="shared" si="25"/>
        <v>1387533025.1006017</v>
      </c>
      <c r="Z108" s="32">
        <f t="shared" si="25"/>
        <v>1469902233.4795353</v>
      </c>
      <c r="AA108" s="32">
        <f>AA107+AA105</f>
        <v>25320721722.452118</v>
      </c>
      <c r="AB108" s="33" t="s">
        <v>142</v>
      </c>
      <c r="AC108" s="36" t="s">
        <v>147</v>
      </c>
      <c r="AD108" s="37">
        <f>AD105</f>
        <v>9.2165449266066513E-2</v>
      </c>
    </row>
    <row r="109" spans="1:39" ht="19" x14ac:dyDescent="0.25">
      <c r="W109" s="71" t="s">
        <v>148</v>
      </c>
      <c r="X109" s="72"/>
    </row>
    <row r="110" spans="1:39" ht="20" x14ac:dyDescent="0.25">
      <c r="W110" s="38" t="s">
        <v>149</v>
      </c>
      <c r="X110" s="39">
        <f>NPV(AD108,W108,X108,Y108,Z108,AA108)</f>
        <v>20622479706.82412</v>
      </c>
    </row>
    <row r="111" spans="1:39" ht="20" x14ac:dyDescent="0.25">
      <c r="W111" s="38" t="s">
        <v>150</v>
      </c>
      <c r="X111" s="39">
        <f>V40</f>
        <v>737877000</v>
      </c>
    </row>
    <row r="112" spans="1:39" ht="20" x14ac:dyDescent="0.25">
      <c r="W112" s="38" t="s">
        <v>138</v>
      </c>
      <c r="X112" s="39">
        <f>AD99</f>
        <v>1903176000</v>
      </c>
    </row>
    <row r="113" spans="23:24" ht="20" x14ac:dyDescent="0.25">
      <c r="W113" s="38" t="s">
        <v>151</v>
      </c>
      <c r="X113" s="39">
        <f>X110+X111-X112</f>
        <v>19457180706.82412</v>
      </c>
    </row>
    <row r="114" spans="23:24" ht="20" x14ac:dyDescent="0.25">
      <c r="W114" s="38" t="s">
        <v>152</v>
      </c>
      <c r="X114" s="45">
        <f>V34*(1+(5*AB16))</f>
        <v>43003211.19368273</v>
      </c>
    </row>
    <row r="115" spans="23:24" ht="20" x14ac:dyDescent="0.25">
      <c r="W115" s="40" t="s">
        <v>153</v>
      </c>
      <c r="X115" s="41">
        <f>X113/X114</f>
        <v>452.45878544257232</v>
      </c>
    </row>
    <row r="116" spans="23:24" ht="20" x14ac:dyDescent="0.25">
      <c r="W116" s="38" t="s">
        <v>154</v>
      </c>
      <c r="X116" s="56" cm="1">
        <f t="array" ref="X116">_FV(A1,"Price")</f>
        <v>455.49</v>
      </c>
    </row>
    <row r="117" spans="23:24" ht="20" x14ac:dyDescent="0.25">
      <c r="W117" s="42" t="s">
        <v>155</v>
      </c>
      <c r="X117" s="43">
        <f>X115/X116-1</f>
        <v>-6.6548432620423537E-3</v>
      </c>
    </row>
    <row r="118" spans="23:24" ht="20" x14ac:dyDescent="0.25">
      <c r="W118" s="42" t="s">
        <v>156</v>
      </c>
      <c r="X118" s="44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6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73" t="s">
        <v>124</v>
      </c>
      <c r="J83" s="74"/>
    </row>
    <row r="84" spans="1:11" ht="19" x14ac:dyDescent="0.25">
      <c r="A84" s="5" t="s">
        <v>47</v>
      </c>
      <c r="B84" s="1"/>
      <c r="I84" s="75" t="s">
        <v>125</v>
      </c>
      <c r="J84" s="7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77" t="s">
        <v>132</v>
      </c>
      <c r="J93" s="7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>
        <f>[1]Treasuries!$C$8</f>
        <v>3.7229999999999999E-2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 vm="2">
        <f>(J94)+((J95)*(J96-J94))</f>
        <v>#VALUE!</v>
      </c>
    </row>
    <row r="98" spans="1:11" ht="19" x14ac:dyDescent="0.25">
      <c r="A98" s="5" t="s">
        <v>83</v>
      </c>
      <c r="B98" s="1">
        <v>0</v>
      </c>
      <c r="I98" s="77" t="s">
        <v>137</v>
      </c>
      <c r="J98" s="7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75" t="s">
        <v>143</v>
      </c>
      <c r="J104" s="7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71" t="s">
        <v>148</v>
      </c>
      <c r="D109" s="7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2023-06-23T18:36:06Z</dcterms:modified>
</cp:coreProperties>
</file>