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C0307C6-D995-644D-9824-94923A22582B}"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2" i="1" l="1"/>
  <c r="AF22" i="1"/>
  <c r="C105" i="1" l="1"/>
  <c r="D105" i="1"/>
  <c r="E105" i="1"/>
  <c r="F105" i="1"/>
  <c r="G105" i="1"/>
  <c r="H105" i="1"/>
  <c r="I105" i="1"/>
  <c r="J105" i="1"/>
  <c r="K105" i="1"/>
  <c r="L105" i="1"/>
  <c r="M105" i="1"/>
  <c r="N105" i="1"/>
  <c r="O105" i="1"/>
  <c r="P105" i="1"/>
  <c r="Q105" i="1"/>
  <c r="R105" i="1"/>
  <c r="S105" i="1"/>
  <c r="T105" i="1"/>
  <c r="U105" i="1"/>
  <c r="V105" i="1"/>
  <c r="W105" i="1"/>
  <c r="X105" i="1"/>
  <c r="Z114" i="1"/>
  <c r="AF90" i="1" l="1"/>
  <c r="AF89" i="1"/>
  <c r="AF87" i="1"/>
  <c r="AF85" i="1"/>
  <c r="AF86" i="1"/>
  <c r="AD19" i="1"/>
  <c r="AD16" i="1"/>
  <c r="AG13" i="1"/>
  <c r="AF13" i="1"/>
  <c r="AE13" i="1"/>
  <c r="AD13" i="1"/>
  <c r="AG10" i="1"/>
  <c r="AF10" i="1"/>
  <c r="AE10" i="1"/>
  <c r="AD10" i="1"/>
  <c r="AG7" i="1"/>
  <c r="AF7" i="1"/>
  <c r="AE7" i="1"/>
  <c r="AD7" i="1"/>
  <c r="AG4" i="1"/>
  <c r="AF4" i="1"/>
  <c r="AE4" i="1"/>
  <c r="AD4" i="1"/>
  <c r="Z30" i="1"/>
  <c r="AA30" i="1"/>
  <c r="AB30" i="1"/>
  <c r="AC30" i="1"/>
  <c r="Y30" i="1"/>
  <c r="Y29" i="1"/>
  <c r="Z29" i="1"/>
  <c r="AA29" i="1"/>
  <c r="AB29" i="1"/>
  <c r="AC29" i="1"/>
  <c r="Z21" i="1"/>
  <c r="AA21" i="1"/>
  <c r="AB21" i="1"/>
  <c r="AC21" i="1"/>
  <c r="Y21" i="1"/>
  <c r="Y20" i="1"/>
  <c r="Z20" i="1"/>
  <c r="AA20" i="1"/>
  <c r="AB20" i="1"/>
  <c r="AC20" i="1"/>
  <c r="Y4" i="1"/>
  <c r="X9" i="1"/>
  <c r="X106" i="1"/>
  <c r="X89" i="1"/>
  <c r="X80" i="1"/>
  <c r="X35" i="1"/>
  <c r="X29" i="1"/>
  <c r="X20" i="1"/>
  <c r="X13" i="1"/>
  <c r="X4" i="1"/>
  <c r="Z116" i="1" l="1" a="1"/>
  <c r="Z116" i="1" s="1"/>
  <c r="AF101" i="1" a="1"/>
  <c r="AF101" i="1" s="1"/>
  <c r="AF95" i="1" a="1"/>
  <c r="AF95" i="1" s="1"/>
  <c r="AF88" i="1"/>
  <c r="Z111" i="1"/>
  <c r="AF91" i="1"/>
  <c r="AF99" i="1"/>
  <c r="Z112" i="1" s="1"/>
  <c r="AC4" i="1"/>
  <c r="AB4" i="1"/>
  <c r="AA4" i="1"/>
  <c r="Z4" i="1"/>
  <c r="P106" i="1"/>
  <c r="Q106" i="1"/>
  <c r="R106" i="1"/>
  <c r="S106" i="1"/>
  <c r="T106" i="1"/>
  <c r="U106" i="1"/>
  <c r="V106" i="1"/>
  <c r="W106"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6" i="1"/>
  <c r="N106" i="1"/>
  <c r="M106" i="1"/>
  <c r="L106" i="1"/>
  <c r="K106" i="1"/>
  <c r="J106" i="1"/>
  <c r="I106" i="1"/>
  <c r="H106" i="1"/>
  <c r="G106" i="1"/>
  <c r="F106" i="1"/>
  <c r="E106" i="1"/>
  <c r="D106" i="1"/>
  <c r="C106"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E16" i="1" l="1"/>
  <c r="AF16" i="1"/>
  <c r="AG16" i="1"/>
  <c r="AE19" i="1"/>
  <c r="AG19" i="1"/>
  <c r="AF19" i="1"/>
  <c r="AF92" i="1"/>
  <c r="AF106" i="1"/>
  <c r="Y105" i="1" s="1"/>
  <c r="AF103" i="1"/>
  <c r="AF100" i="1" s="1"/>
  <c r="Y108" i="1" l="1"/>
  <c r="Z105" i="1"/>
  <c r="AF102" i="1"/>
  <c r="AA105" i="1" l="1"/>
  <c r="Z108" i="1"/>
  <c r="AA108" i="1" l="1"/>
  <c r="AB105" i="1"/>
  <c r="AB108" i="1" l="1"/>
  <c r="AC105" i="1"/>
  <c r="AF94" i="1" l="1"/>
  <c r="AF97" i="1" s="1"/>
  <c r="AF105" i="1" s="1"/>
  <c r="AF108" i="1" s="1"/>
  <c r="AC107" i="1" s="1"/>
  <c r="AC108" i="1" s="1"/>
  <c r="Z110" i="1" s="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<sst xmlns="http://schemas.openxmlformats.org/spreadsheetml/2006/main" count="722" uniqueCount="167">
  <si>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</si>
  <si>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</si>
  <si>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</si>
  <si>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</si>
  <si>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</si>
  <si>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</si>
  <si>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</si>
  <si>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</si>
  <si>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</si>
  <si>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</si>
  <si>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</si>
  <si>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</si>
  <si>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</si>
  <si>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</si>
  <si>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</si>
  <si>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</si>
  <si>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</si>
  <si>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</si>
  <si>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</si>
  <si>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</si>
  <si>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</si>
  <si>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</si>
  <si>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</si>
  <si>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</si>
  <si>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</si>
  <si>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</si>
  <si>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</si>
  <si>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</si>
  <si>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</si>
  <si>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</si>
  <si>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</si>
  <si>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</si>
  <si>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</si>
  <si>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</si>
  <si>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</si>
  <si>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</si>
  <si>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</si>
  <si>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</si>
  <si>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</si>
  <si>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</si>
  <si>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</si>
  <si>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</si>
  <si>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</si>
  <si>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</si>
  <si>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</si>
  <si>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</si>
  <si>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</si>
  <si>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</si>
  <si>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</si>
  <si>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</si>
  <si>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</si>
  <si>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</si>
  <si>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</si>
  <si>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</si>
  <si>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</si>
  <si>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</si>
  <si>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</si>
  <si>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</si>
  <si>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</si>
  <si>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</si>
  <si>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</si>
  <si>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</si>
  <si>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</si>
  <si>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</si>
  <si>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</si>
  <si>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</si>
  <si>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</si>
  <si>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</si>
  <si>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</si>
  <si>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</si>
  <si>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</si>
  <si>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</si>
  <si>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</si>
  <si>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</si>
  <si>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</si>
  <si>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</si>
  <si>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</si>
  <si>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</si>
  <si>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</si>
  <si>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</si>
  <si>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</si>
  <si>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</si>
  <si>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</si>
  <si>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</si>
  <si>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</si>
  <si>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</si>
  <si>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</si>
  <si>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</si>
  <si>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</si>
  <si>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</si>
  <si>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</si>
  <si>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</si>
  <si>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</si>
  <si>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</si>
  <si>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</si>
  <si>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</si>
  <si>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</si>
  <si>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</si>
  <si>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</si>
  <si>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</si>
  <si>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</si>
  <si>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</si>
  <si>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</si>
  <si>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</si>
  <si>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</si>
  <si>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</si>
  <si>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</si>
  <si>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</si>
  <si>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</si>
  <si>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</si>
  <si>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</si>
  <si>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</si>
  <si>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</si>
  <si>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</si>
  <si>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</si>
  <si>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</si>
  <si>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</si>
  <si>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</si>
  <si>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</si>
  <si>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</si>
  <si>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</si>
  <si>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</si>
  <si>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</si>
  <si>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</si>
  <si>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</si>
  <si>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</si>
  <si>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</si>
  <si>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</si>
  <si>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</si>
  <si>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</si>
  <si>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</si>
  <si>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</si>
  <si>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</si>
  <si>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</si>
  <si>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</si>
  <si>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</si>
  <si>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</si>
  <si>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</si>
  <si>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</si>
  <si>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</si>
  <si>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</si>
  <si>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</si>
  <si>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</si>
  <si>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</si>
  <si>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</si>
  <si>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</si>
  <si>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</si>
  <si>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</si>
  <si>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</si>
  <si>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</si>
  <si>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</si>
  <si>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</si>
  <si>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</si>
  <si>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</si>
  <si>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</si>
  <si>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Net Cash</t>
  </si>
  <si>
    <t>Levered FCF</t>
  </si>
  <si>
    <t>Levered FCF Growth YoY</t>
  </si>
  <si>
    <t>Unlevered FCF</t>
  </si>
  <si>
    <t>Unlevered FCF Forecast</t>
  </si>
  <si>
    <t>Unlevered FCF Proj</t>
  </si>
  <si>
    <t>Forward P/S</t>
  </si>
  <si>
    <t>Forward P/E</t>
  </si>
  <si>
    <t>Forward P/FCF</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</si>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</sst>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0" borderId="0" xfId="0" applyFont="1" applyAlignment="1">
      <alignment indent="1"/>
    </xf>
    <xf numFmtId="164" fontId="10" fillId="7" borderId="0" xfId="0" applyNumberFormat="1" applyFont="1" applyFill="1"/>
    <xf numFmtId="164" fontId="6" fillId="0" borderId="0" xfId="0" applyNumberFormat="1" applyFont="1"/>
    <xf numFmtId="164" fontId="1" fillId="7" borderId="0" xfId="0" applyNumberFormat="1" applyFont="1" applyFill="1"/>
    <xf numFmtId="165" fontId="2" fillId="0" borderId="15" xfId="0" applyNumberFormat="1" applyFont="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2" fontId="11" fillId="0" borderId="5" xfId="0" applyNumberFormat="1" applyFont="1" applyBorder="1" applyAlignment="1">
      <alignment horizontal="center"/>
    </xf>
    <xf numFmtId="172"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pt idx="22">
                  <c:v>31352000000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pt idx="22">
                  <c:v>4446000000</c:v>
                </c:pt>
              </c:numCache>
            </c:numRef>
          </c:val>
          <c:extLst>
            <c:ext xmlns:c16="http://schemas.microsoft.com/office/drawing/2014/chart" uri="{C3380CC4-5D6E-409C-BE32-E72D297353CC}">
              <c16:uniqueId val="{00000001-B118-3348-A8C1-80715CED016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1'!$B$107:$X$107</c:f>
              <c:numCache>
                <c:formatCode>#,###,,;\(#,###,,\);\ \-\ \-</c:formatCode>
                <c:ptCount val="23"/>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pt idx="22">
                  <c:v>6313000000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23813</xdr:colOff>
      <xdr:row>108</xdr:row>
      <xdr:rowOff>25400</xdr:rowOff>
    </xdr:from>
    <xdr:to>
      <xdr:col>31</xdr:col>
      <xdr:colOff>1603375</xdr:colOff>
      <xdr:row>130</xdr:row>
      <xdr:rowOff>15875</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225</v>
    <v>126.34</v>
    <v>1.2126999999999999</v>
    <v>-3.29</v>
    <v>-1.5424999999999999E-2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210.99</v>
    <v>Software &amp; IT Services</v>
    <v>Stock</v>
    <v>45100.776041365621</v>
    <v>0</v>
    <v>208.0701</v>
    <v>204540000000</v>
    <v>SALESFORCE, INC.</v>
    <v>SALESFORCE, INC.</v>
    <v>210.82</v>
    <v>561.64419999999996</v>
    <v>213.29</v>
    <v>210</v>
    <v>974000000</v>
    <v>CRM</v>
    <v>SALESFORCE, INC. (XNYS:CRM)</v>
    <v>4948857</v>
    <v>8827395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hyperlink" Target="https://finbox.com/NYSE:CRM/explorer/fcf_unlev_proj/" TargetMode="External"/><Relationship Id="rId50"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49" Type="http://schemas.openxmlformats.org/officeDocument/2006/relationships/hyperlink" Target="https://www.sec.gov/Archives/edgar/data/1108524/000110852423000011/0001108524-23-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48" Type="http://schemas.openxmlformats.org/officeDocument/2006/relationships/hyperlink" Target="https://www.sec.gov/Archives/edgar/data/1108524/000110852423000011/0001108524-23-000011-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7" activePane="bottomRight" state="frozen"/>
      <selection pane="topRight"/>
      <selection pane="bottomLeft"/>
      <selection pane="bottomRight" activeCell="AA13" sqref="AA13"/>
    </sheetView>
  </sheetViews>
  <sheetFormatPr baseColWidth="10" defaultRowHeight="16" x14ac:dyDescent="0.2"/>
  <cols>
    <col min="1" max="1" width="50" customWidth="1"/>
    <col min="2" max="24" width="15" customWidth="1"/>
    <col min="25" max="33" width="21.33203125" customWidth="1"/>
  </cols>
  <sheetData>
    <row r="1" spans="1:33"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8">
        <v>2023</v>
      </c>
      <c r="Y1" s="27">
        <v>2024</v>
      </c>
      <c r="Z1" s="27">
        <v>2025</v>
      </c>
      <c r="AA1" s="27">
        <v>2026</v>
      </c>
      <c r="AB1" s="27">
        <v>2027</v>
      </c>
      <c r="AC1" s="27">
        <v>2028</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1">
        <v>31352000000</v>
      </c>
      <c r="Y3" s="28">
        <v>34644000000</v>
      </c>
      <c r="Z3" s="28">
        <v>38456000000</v>
      </c>
      <c r="AA3" s="28">
        <v>42919000000</v>
      </c>
      <c r="AB3" s="28">
        <v>48540000000</v>
      </c>
      <c r="AC3" s="28">
        <v>54332000000</v>
      </c>
      <c r="AD3" s="18" t="s">
        <v>107</v>
      </c>
      <c r="AE3" s="19" t="s">
        <v>108</v>
      </c>
      <c r="AF3" s="19" t="s">
        <v>109</v>
      </c>
      <c r="AG3" s="19" t="s">
        <v>110</v>
      </c>
    </row>
    <row r="4" spans="1:33" ht="19" x14ac:dyDescent="0.25">
      <c r="A4" s="14" t="s">
        <v>93</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C4" si="3">(W3/V3)-1</f>
        <v>0.24656502917372491</v>
      </c>
      <c r="X4" s="16">
        <f t="shared" si="3"/>
        <v>0.18345160803261362</v>
      </c>
      <c r="Y4" s="16">
        <f>(Y3/X3)-1</f>
        <v>0.10500127583567243</v>
      </c>
      <c r="Z4" s="16">
        <f t="shared" si="3"/>
        <v>0.11003348343147445</v>
      </c>
      <c r="AA4" s="16">
        <f t="shared" si="3"/>
        <v>0.11605471187851046</v>
      </c>
      <c r="AB4" s="16">
        <f t="shared" si="3"/>
        <v>0.13096763671101375</v>
      </c>
      <c r="AC4" s="16">
        <f t="shared" si="3"/>
        <v>0.11932426864441692</v>
      </c>
      <c r="AD4" s="17">
        <f>(W4+V4+X4)/3</f>
        <v>0.22432300976632699</v>
      </c>
      <c r="AE4" s="17">
        <f>(W20+V20+X20)/3</f>
        <v>0.23899549079969129</v>
      </c>
      <c r="AF4" s="17">
        <f>(W29+V29+X29)/3</f>
        <v>9.9387071782214065</v>
      </c>
      <c r="AG4" s="17">
        <f>(W106+V106+X106)/3</f>
        <v>0.19853653458324896</v>
      </c>
    </row>
    <row r="5" spans="1:33"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c r="X5" s="1">
        <v>8360000000</v>
      </c>
    </row>
    <row r="6" spans="1:33"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X6" s="10">
        <v>22992000000</v>
      </c>
      <c r="AD6" s="18" t="s">
        <v>111</v>
      </c>
      <c r="AE6" s="19" t="s">
        <v>112</v>
      </c>
      <c r="AF6" s="19" t="s">
        <v>113</v>
      </c>
      <c r="AG6" s="19" t="s">
        <v>114</v>
      </c>
    </row>
    <row r="7" spans="1:33"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X7" s="2">
        <v>0.73340000000000005</v>
      </c>
      <c r="AD7" s="17">
        <f>X7</f>
        <v>0.73340000000000005</v>
      </c>
      <c r="AE7" s="20">
        <f>X21</f>
        <v>0.14180000000000001</v>
      </c>
      <c r="AF7" s="20">
        <f>X30</f>
        <v>6.6E-3</v>
      </c>
      <c r="AG7" s="20">
        <f>X107/X3</f>
        <v>0.20135876499106914</v>
      </c>
    </row>
    <row r="8" spans="1:33"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c r="X8" s="1">
        <v>5055000000</v>
      </c>
    </row>
    <row r="9" spans="1:33" ht="19" customHeight="1" x14ac:dyDescent="0.25">
      <c r="A9" s="14" t="s">
        <v>94</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X9" s="15">
        <f>X8/X3</f>
        <v>0.16123373309517733</v>
      </c>
      <c r="AD9" s="18" t="s">
        <v>95</v>
      </c>
      <c r="AE9" s="19" t="s">
        <v>96</v>
      </c>
      <c r="AF9" s="19" t="s">
        <v>97</v>
      </c>
      <c r="AG9" s="19" t="s">
        <v>98</v>
      </c>
    </row>
    <row r="10" spans="1:33" ht="19" x14ac:dyDescent="0.25">
      <c r="A10" s="5" t="s">
        <v>6</v>
      </c>
      <c r="B10" s="1" t="s">
        <v>91</v>
      </c>
      <c r="C10" s="1" t="s">
        <v>91</v>
      </c>
      <c r="D10" s="1" t="s">
        <v>91</v>
      </c>
      <c r="E10" s="1" t="s">
        <v>91</v>
      </c>
      <c r="F10" s="1" t="s">
        <v>91</v>
      </c>
      <c r="G10" s="1" t="s">
        <v>91</v>
      </c>
      <c r="H10" s="1" t="s">
        <v>91</v>
      </c>
      <c r="I10" s="1" t="s">
        <v>91</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X10" s="1">
        <v>2553000000</v>
      </c>
      <c r="AD10" s="17">
        <f>X9</f>
        <v>0.16123373309517733</v>
      </c>
      <c r="AE10" s="20">
        <f>X13</f>
        <v>0.51285404439908144</v>
      </c>
      <c r="AF10" s="20">
        <f>X80</f>
        <v>0.10458662924215362</v>
      </c>
      <c r="AG10" s="20">
        <f>X89</f>
        <v>2.5452921663689718E-2</v>
      </c>
    </row>
    <row r="11" spans="1:33" ht="19" x14ac:dyDescent="0.25">
      <c r="A11" s="5" t="s">
        <v>7</v>
      </c>
      <c r="B11" s="1" t="s">
        <v>91</v>
      </c>
      <c r="C11" s="1" t="s">
        <v>91</v>
      </c>
      <c r="D11" s="1" t="s">
        <v>91</v>
      </c>
      <c r="E11" s="1" t="s">
        <v>91</v>
      </c>
      <c r="F11" s="1" t="s">
        <v>91</v>
      </c>
      <c r="G11" s="1" t="s">
        <v>91</v>
      </c>
      <c r="H11" s="1" t="s">
        <v>91</v>
      </c>
      <c r="I11" s="1" t="s">
        <v>91</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c r="X11" s="1">
        <v>13526000000</v>
      </c>
    </row>
    <row r="12" spans="1:33"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X12" s="1">
        <v>16079000000</v>
      </c>
      <c r="AD12" s="18" t="s">
        <v>115</v>
      </c>
      <c r="AE12" s="19" t="s">
        <v>116</v>
      </c>
      <c r="AF12" s="19" t="s">
        <v>117</v>
      </c>
      <c r="AG12" s="19" t="s">
        <v>118</v>
      </c>
    </row>
    <row r="13" spans="1:33" ht="19" x14ac:dyDescent="0.25">
      <c r="A13" s="14" t="s">
        <v>99</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X13" s="15">
        <f t="shared" ref="X13" si="6">X12/X3</f>
        <v>0.51285404439908144</v>
      </c>
      <c r="AD13" s="17">
        <f>X28/X72</f>
        <v>3.564146061447249E-3</v>
      </c>
      <c r="AE13" s="20">
        <f>X28/X54</f>
        <v>2.104219567218687E-3</v>
      </c>
      <c r="AF13" s="20">
        <f>X22/(X72+X56+X61)</f>
        <v>1.4217289880878435E-2</v>
      </c>
      <c r="AG13" s="21">
        <f>X67/X72</f>
        <v>0.69380900974999571</v>
      </c>
    </row>
    <row r="14" spans="1:33" ht="19" x14ac:dyDescent="0.25">
      <c r="A14" s="5" t="s">
        <v>9</v>
      </c>
      <c r="B14" s="1" t="s">
        <v>91</v>
      </c>
      <c r="C14" s="1">
        <v>7657000</v>
      </c>
      <c r="D14" s="1" t="s">
        <v>91</v>
      </c>
      <c r="E14" s="1">
        <v>-3445000</v>
      </c>
      <c r="F14" s="1" t="s">
        <v>91</v>
      </c>
      <c r="G14" s="1">
        <v>-285000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v>828000000</v>
      </c>
    </row>
    <row r="15" spans="1:33"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X15" s="1">
        <v>21962000000</v>
      </c>
      <c r="AD15" s="18" t="s">
        <v>119</v>
      </c>
      <c r="AE15" s="19" t="s">
        <v>120</v>
      </c>
      <c r="AF15" s="19" t="s">
        <v>121</v>
      </c>
      <c r="AG15" s="19" t="s">
        <v>122</v>
      </c>
    </row>
    <row r="16" spans="1:33"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X16" s="1">
        <v>30322000000</v>
      </c>
      <c r="AD16" s="29">
        <f>(W35+V35+U35+T35+X35)/5</f>
        <v>6.3363284011243692E-2</v>
      </c>
      <c r="AE16" s="67">
        <f>AF101/X3</f>
        <v>6.5239857106404697</v>
      </c>
      <c r="AF16" s="67">
        <f>AF101/X28</f>
        <v>983.36538461538464</v>
      </c>
      <c r="AG16" s="68">
        <f>AF101/X107</f>
        <v>32.399809916046252</v>
      </c>
    </row>
    <row r="17" spans="1:33" ht="19" x14ac:dyDescent="0.25">
      <c r="A17" s="5" t="s">
        <v>12</v>
      </c>
      <c r="B17" s="1" t="s">
        <v>91</v>
      </c>
      <c r="C17" s="1" t="s">
        <v>91</v>
      </c>
      <c r="D17" s="1" t="s">
        <v>91</v>
      </c>
      <c r="E17" s="1" t="s">
        <v>91</v>
      </c>
      <c r="F17" s="1" t="s">
        <v>91</v>
      </c>
      <c r="G17" s="1" t="s">
        <v>91</v>
      </c>
      <c r="H17" s="1" t="s">
        <v>91</v>
      </c>
      <c r="I17" s="1" t="s">
        <v>91</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110000000</v>
      </c>
      <c r="W17" s="1">
        <v>216000000</v>
      </c>
      <c r="X17" s="1">
        <v>287160000</v>
      </c>
    </row>
    <row r="18" spans="1:33" ht="20" x14ac:dyDescent="0.25">
      <c r="A18" s="5" t="s">
        <v>13</v>
      </c>
      <c r="B18" s="1" t="s">
        <v>91</v>
      </c>
      <c r="C18" s="1" t="s">
        <v>91</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X18" s="1">
        <v>3786000000</v>
      </c>
      <c r="AD18" s="18" t="s">
        <v>155</v>
      </c>
      <c r="AE18" s="19" t="s">
        <v>161</v>
      </c>
      <c r="AF18" s="19" t="s">
        <v>162</v>
      </c>
      <c r="AG18" s="19" t="s">
        <v>163</v>
      </c>
    </row>
    <row r="19" spans="1:33"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X19" s="10">
        <v>4446000000</v>
      </c>
      <c r="Y19" s="62">
        <v>10782000000</v>
      </c>
      <c r="Z19" s="62">
        <v>12830000000</v>
      </c>
      <c r="AA19" s="62">
        <v>12461000000</v>
      </c>
      <c r="AB19" s="62">
        <v>14210000000</v>
      </c>
      <c r="AC19" s="62">
        <v>16504000000</v>
      </c>
      <c r="AD19" s="52">
        <f>X40-X56-X61</f>
        <v>-1580000000</v>
      </c>
      <c r="AE19" s="67">
        <f>AF101/Y3</f>
        <v>5.9040526498094907</v>
      </c>
      <c r="AF19" s="67">
        <f>AF101/Y28</f>
        <v>27.794537301263759</v>
      </c>
      <c r="AG19" s="68">
        <f>AF101/Y106</f>
        <v>21.117076192442699</v>
      </c>
    </row>
    <row r="20" spans="1:33" ht="19" customHeight="1" x14ac:dyDescent="0.25">
      <c r="A20" s="14" t="s">
        <v>100</v>
      </c>
      <c r="B20" s="1"/>
      <c r="C20" s="15">
        <f>(C19/B19)-1</f>
        <v>-9.668150674118281E-2</v>
      </c>
      <c r="D20" s="15">
        <f>(D19/C19)-1</f>
        <v>-0.85434653430738572</v>
      </c>
      <c r="E20" s="15">
        <f>(E19/D19)-1</f>
        <v>-4.6585073194144471</v>
      </c>
      <c r="F20" s="15">
        <f t="shared" ref="F20:O20" si="7">(F19/E19)-1</f>
        <v>0.79127582814037378</v>
      </c>
      <c r="G20" s="15">
        <f t="shared" si="7"/>
        <v>0.75029295444558364</v>
      </c>
      <c r="H20" s="15">
        <f t="shared" si="7"/>
        <v>-3.4228089629056213E-2</v>
      </c>
      <c r="I20" s="15">
        <f t="shared" si="7"/>
        <v>1.3429951690821258</v>
      </c>
      <c r="J20" s="15">
        <f t="shared" si="7"/>
        <v>0.64816235957653379</v>
      </c>
      <c r="K20" s="15">
        <f t="shared" si="7"/>
        <v>8.5988208036711145E-2</v>
      </c>
      <c r="L20" s="15">
        <f t="shared" si="7"/>
        <v>3.1743161918537099E-2</v>
      </c>
      <c r="M20" s="15">
        <f t="shared" si="7"/>
        <v>-0.29397686877284335</v>
      </c>
      <c r="N20" s="15">
        <f t="shared" si="7"/>
        <v>-0.1493823308323996</v>
      </c>
      <c r="O20" s="15">
        <f t="shared" si="7"/>
        <v>-0.26052739080776</v>
      </c>
      <c r="P20" s="15">
        <f t="shared" ref="P20" si="8">(P19/O19)-1</f>
        <v>2.4774687426013822</v>
      </c>
      <c r="Q20" s="15">
        <f t="shared" ref="Q20" si="9">(Q19/P19)-1</f>
        <v>1.1478952692187985</v>
      </c>
      <c r="R20" s="15">
        <f t="shared" ref="R20" si="10">(R19/Q19)-1</f>
        <v>0.12694373250980351</v>
      </c>
      <c r="S20" s="15">
        <f t="shared" ref="S20" si="11">(S19/R19)-1</f>
        <v>0.39516297534475564</v>
      </c>
      <c r="T20" s="15">
        <f t="shared" ref="T20" si="12">(T19/S19)-1</f>
        <v>1.015070306657412</v>
      </c>
      <c r="U20" s="15">
        <f t="shared" ref="U20" si="13">(U19/T19)-1</f>
        <v>0.35350166746069567</v>
      </c>
      <c r="V20" s="15">
        <f t="shared" ref="V20" si="14">(V19/U19)-1</f>
        <v>0.90320309750088001</v>
      </c>
      <c r="W20" s="15">
        <f t="shared" ref="W20:X20" si="15">(W19/V19)-1</f>
        <v>-0.10671351951174401</v>
      </c>
      <c r="X20" s="15">
        <f t="shared" si="15"/>
        <v>-7.9503105590062129E-2</v>
      </c>
      <c r="Y20" s="16">
        <f t="shared" ref="Y20" si="16">(Y19/X19)-1</f>
        <v>1.4251012145748989</v>
      </c>
      <c r="Z20" s="16">
        <f t="shared" ref="Z20" si="17">(Z19/Y19)-1</f>
        <v>0.18994620664069739</v>
      </c>
      <c r="AA20" s="16">
        <f t="shared" ref="AA20" si="18">(AA19/Z19)-1</f>
        <v>-2.8760717069368669E-2</v>
      </c>
      <c r="AB20" s="16">
        <f t="shared" ref="AB20" si="19">(AB19/AA19)-1</f>
        <v>0.14035791670010433</v>
      </c>
      <c r="AC20" s="16">
        <f t="shared" ref="AC20" si="20">(AC19/AB19)-1</f>
        <v>0.16143560872624918</v>
      </c>
    </row>
    <row r="21" spans="1:33" ht="20"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c r="X21" s="61">
        <v>0.14180000000000001</v>
      </c>
      <c r="Y21" s="63">
        <f>Y19/Y3</f>
        <v>0.31122272254935918</v>
      </c>
      <c r="Z21" s="63">
        <f t="shared" ref="Z21:AC21" si="21">Z19/Z3</f>
        <v>0.33362804243811106</v>
      </c>
      <c r="AA21" s="63">
        <f t="shared" si="21"/>
        <v>0.29033761271231856</v>
      </c>
      <c r="AB21" s="63">
        <f t="shared" si="21"/>
        <v>0.29274824886691386</v>
      </c>
      <c r="AC21" s="63">
        <f t="shared" si="21"/>
        <v>0.30376205551056468</v>
      </c>
      <c r="AF21" s="18" t="s">
        <v>165</v>
      </c>
      <c r="AG21" s="19" t="s">
        <v>166</v>
      </c>
    </row>
    <row r="22" spans="1:33"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c r="X22" s="59">
        <v>1030000000</v>
      </c>
      <c r="AF22" s="75">
        <f>(-1*X98)/AF101</f>
        <v>0</v>
      </c>
      <c r="AG22" s="76">
        <f>X107/AF101</f>
        <v>3.0864378605651707E-2</v>
      </c>
    </row>
    <row r="23" spans="1:33"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c r="X23" s="2">
        <v>3.2899999999999999E-2</v>
      </c>
    </row>
    <row r="24" spans="1:33"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c r="X24" s="1">
        <v>-370000000</v>
      </c>
    </row>
    <row r="25" spans="1:33"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c r="X25" s="10">
        <v>660000000</v>
      </c>
    </row>
    <row r="26" spans="1:33"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c r="X26" s="2">
        <v>2.1100000000000001E-2</v>
      </c>
    </row>
    <row r="27" spans="1:33" ht="19" x14ac:dyDescent="0.25">
      <c r="A27" s="5" t="s">
        <v>21</v>
      </c>
      <c r="B27" s="1" t="s">
        <v>91</v>
      </c>
      <c r="C27" s="1" t="s">
        <v>91</v>
      </c>
      <c r="D27" s="1" t="s">
        <v>91</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c r="X27" s="1">
        <v>452000000</v>
      </c>
    </row>
    <row r="28" spans="1:33" ht="20" thickBot="1" x14ac:dyDescent="0.3">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c r="X28" s="11">
        <v>208000000</v>
      </c>
      <c r="Y28" s="64">
        <v>7359000000</v>
      </c>
      <c r="Z28" s="64">
        <v>9029000000</v>
      </c>
      <c r="AA28" s="64">
        <v>10691000000</v>
      </c>
      <c r="AB28" s="64">
        <v>12122000000</v>
      </c>
      <c r="AC28" s="64">
        <v>13148000000</v>
      </c>
    </row>
    <row r="29" spans="1:33" ht="20" customHeight="1" thickTop="1" x14ac:dyDescent="0.25">
      <c r="A29" s="14" t="s">
        <v>101</v>
      </c>
      <c r="B29" s="1"/>
      <c r="C29" s="15">
        <f>(C28/B28)-1</f>
        <v>-9.668150674118281E-2</v>
      </c>
      <c r="D29" s="15">
        <f>(D28/C28)-1</f>
        <v>-0.66038659163200397</v>
      </c>
      <c r="E29" s="15">
        <f>(E28/D28)-1</f>
        <v>-1.361671469740634</v>
      </c>
      <c r="F29" s="15">
        <f t="shared" ref="F29:O29" si="22">(F28/E28)-1</f>
        <v>1.0904951622083097</v>
      </c>
      <c r="G29" s="15">
        <f t="shared" si="22"/>
        <v>2.8761230601687995</v>
      </c>
      <c r="H29" s="15">
        <f t="shared" si="22"/>
        <v>-0.98310739622111398</v>
      </c>
      <c r="I29" s="15">
        <f t="shared" si="22"/>
        <v>37.162162162162161</v>
      </c>
      <c r="J29" s="15">
        <f t="shared" si="22"/>
        <v>1.3658749182828505</v>
      </c>
      <c r="K29" s="15">
        <f t="shared" si="22"/>
        <v>0.85868564060053432</v>
      </c>
      <c r="L29" s="15">
        <f t="shared" si="22"/>
        <v>-0.20125373208290487</v>
      </c>
      <c r="M29" s="15">
        <f t="shared" si="22"/>
        <v>-1.1794832025312529</v>
      </c>
      <c r="N29" s="15">
        <f t="shared" si="22"/>
        <v>22.370636017974419</v>
      </c>
      <c r="O29" s="15">
        <f t="shared" si="22"/>
        <v>-0.14150751539129958</v>
      </c>
      <c r="P29" s="15">
        <f t="shared" ref="P29" si="23">(P28/O28)-1</f>
        <v>0.13142241843437064</v>
      </c>
      <c r="Q29" s="15">
        <f t="shared" ref="Q29" si="24">(Q28/P28)-1</f>
        <v>-0.81945882567913264</v>
      </c>
      <c r="R29" s="15">
        <f t="shared" ref="R29" si="25">(R28/Q28)-1</f>
        <v>-4.7876270400202419</v>
      </c>
      <c r="S29" s="15">
        <f t="shared" ref="S29" si="26">(S28/R28)-1</f>
        <v>-0.29033802440545109</v>
      </c>
      <c r="T29" s="15">
        <f t="shared" ref="T29" si="27">(T28/S28)-1</f>
        <v>7.7073848036523955</v>
      </c>
      <c r="U29" s="15">
        <f t="shared" ref="U29" si="28">(U28/T28)-1</f>
        <v>-0.88648648648648654</v>
      </c>
      <c r="V29" s="15">
        <f t="shared" ref="V29" si="29">(V28/U28)-1</f>
        <v>31.317460317460316</v>
      </c>
      <c r="W29" s="15">
        <f t="shared" ref="W29:X29" si="30">(W28/V28)-1</f>
        <v>-0.64538310412573674</v>
      </c>
      <c r="X29" s="15">
        <f t="shared" si="30"/>
        <v>-0.85595567867036015</v>
      </c>
      <c r="Y29" s="16">
        <f t="shared" ref="Y29" si="31">(Y28/X28)-1</f>
        <v>34.379807692307693</v>
      </c>
      <c r="Z29" s="16">
        <f t="shared" ref="Z29" si="32">(Z28/Y28)-1</f>
        <v>0.22693300720206544</v>
      </c>
      <c r="AA29" s="16">
        <f t="shared" ref="AA29" si="33">(AA28/Z28)-1</f>
        <v>0.18407354081293614</v>
      </c>
      <c r="AB29" s="16">
        <f t="shared" ref="AB29" si="34">(AB28/AA28)-1</f>
        <v>0.13385090262837895</v>
      </c>
      <c r="AC29" s="16">
        <f t="shared" ref="AC29" si="35">(AC28/AB28)-1</f>
        <v>8.4639498432601989E-2</v>
      </c>
    </row>
    <row r="30" spans="1:33"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c r="X30" s="2">
        <v>6.6E-3</v>
      </c>
      <c r="Y30" s="65">
        <f>Y28/Y3</f>
        <v>0.21241773467267058</v>
      </c>
      <c r="Z30" s="65">
        <f t="shared" ref="Z30:AC30" si="36">Z28/Z3</f>
        <v>0.23478780944456001</v>
      </c>
      <c r="AA30" s="65">
        <f t="shared" si="36"/>
        <v>0.24909713646636689</v>
      </c>
      <c r="AB30" s="65">
        <f t="shared" si="36"/>
        <v>0.24973217964565306</v>
      </c>
      <c r="AC30" s="65">
        <f t="shared" si="36"/>
        <v>0.2419936685562836</v>
      </c>
    </row>
    <row r="31" spans="1:33" ht="19" x14ac:dyDescent="0.25">
      <c r="A31" s="5" t="s">
        <v>24</v>
      </c>
      <c r="B31" s="12">
        <v>-0.59</v>
      </c>
      <c r="C31" s="12">
        <v>-0.34</v>
      </c>
      <c r="D31" s="12">
        <v>-0.09</v>
      </c>
      <c r="E31" s="12">
        <v>0.03</v>
      </c>
      <c r="F31" s="12">
        <v>0.03</v>
      </c>
      <c r="G31" s="12">
        <v>7.0000000000000007E-2</v>
      </c>
      <c r="H31" s="12" t="s">
        <v>90</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c r="X31" s="12">
        <v>0.21</v>
      </c>
      <c r="Y31" s="66">
        <v>7.56</v>
      </c>
      <c r="Z31" s="66">
        <v>9.27</v>
      </c>
      <c r="AA31" s="66">
        <v>10.98</v>
      </c>
      <c r="AB31" s="66">
        <v>12.45</v>
      </c>
      <c r="AC31" s="66">
        <v>13.5</v>
      </c>
    </row>
    <row r="32" spans="1:33" ht="19" x14ac:dyDescent="0.25">
      <c r="A32" s="5" t="s">
        <v>25</v>
      </c>
      <c r="B32" s="12">
        <v>-0.59</v>
      </c>
      <c r="C32" s="12">
        <v>-0.34</v>
      </c>
      <c r="D32" s="12">
        <v>-0.09</v>
      </c>
      <c r="E32" s="12">
        <v>0.01</v>
      </c>
      <c r="F32" s="12">
        <v>0.02</v>
      </c>
      <c r="G32" s="12">
        <v>0.06</v>
      </c>
      <c r="H32" s="12" t="s">
        <v>90</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c r="X32" s="12">
        <v>0.21</v>
      </c>
    </row>
    <row r="33" spans="1:24"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c r="X33" s="1">
        <v>992000000</v>
      </c>
    </row>
    <row r="34" spans="1:24"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c r="X34" s="1">
        <v>997000000</v>
      </c>
    </row>
    <row r="35" spans="1:24" ht="20" customHeight="1" x14ac:dyDescent="0.25">
      <c r="A35" s="14" t="s">
        <v>102</v>
      </c>
      <c r="B35" s="1"/>
      <c r="C35" s="22">
        <f>(C34-B34)/B34</f>
        <v>0.58021631365479942</v>
      </c>
      <c r="D35" s="22">
        <f t="shared" ref="D35:O35" si="37">(D34-C34)/C34</f>
        <v>0.2536242216835401</v>
      </c>
      <c r="E35" s="22">
        <f t="shared" si="37"/>
        <v>2.6174028436018957</v>
      </c>
      <c r="F35" s="22">
        <f t="shared" si="37"/>
        <v>0.16209162657610918</v>
      </c>
      <c r="G35" s="22">
        <f t="shared" si="37"/>
        <v>7.0918339736998751E-2</v>
      </c>
      <c r="H35" s="22">
        <f t="shared" si="37"/>
        <v>1.1933938031110774E-2</v>
      </c>
      <c r="I35" s="22">
        <f t="shared" si="37"/>
        <v>1.8875776087354561E-2</v>
      </c>
      <c r="J35" s="22">
        <f t="shared" si="37"/>
        <v>2.2920716864615838E-2</v>
      </c>
      <c r="K35" s="22">
        <f t="shared" si="37"/>
        <v>2.3045964161369663E-2</v>
      </c>
      <c r="L35" s="22">
        <f t="shared" si="37"/>
        <v>7.0755136050704839E-2</v>
      </c>
      <c r="M35" s="22">
        <f t="shared" si="37"/>
        <v>-1.3680864292340495E-2</v>
      </c>
      <c r="N35" s="22">
        <f t="shared" si="37"/>
        <v>4.3768754342138325E-2</v>
      </c>
      <c r="O35" s="22">
        <f t="shared" si="37"/>
        <v>5.7916855491984366E-2</v>
      </c>
      <c r="P35" s="22">
        <f t="shared" ref="P35" si="38">(P34-O34)/O34</f>
        <v>4.44016445425384E-2</v>
      </c>
      <c r="Q35" s="22">
        <f t="shared" ref="Q35" si="39">(Q34-P34)/P34</f>
        <v>6.0080301466959758E-2</v>
      </c>
      <c r="R35" s="22">
        <f t="shared" ref="R35" si="40">(R34-Q34)/Q34</f>
        <v>5.8293924101522412E-2</v>
      </c>
      <c r="S35" s="22">
        <f t="shared" ref="S35" si="41">(S34-R34)/R34</f>
        <v>4.9100493132843107E-2</v>
      </c>
      <c r="T35" s="22">
        <f t="shared" ref="T35" si="42">(T34-S34)/S34</f>
        <v>5.4998788453004231E-2</v>
      </c>
      <c r="U35" s="22">
        <f t="shared" ref="U35" si="43">(U34-T34)/T34</f>
        <v>9.6774193548387094E-2</v>
      </c>
      <c r="V35" s="22">
        <f t="shared" ref="V35" si="44">(V34-U34)/U34</f>
        <v>9.4117647058823528E-2</v>
      </c>
      <c r="W35" s="22">
        <f t="shared" ref="W35:X35" si="45">(W34-V34)/V34</f>
        <v>4.7311827956989246E-2</v>
      </c>
      <c r="X35" s="22">
        <f t="shared" si="45"/>
        <v>2.3613963039014373E-2</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c r="X38" s="1">
        <v>7016000000</v>
      </c>
    </row>
    <row r="39" spans="1:24" ht="19" x14ac:dyDescent="0.25">
      <c r="A39" s="5" t="s">
        <v>31</v>
      </c>
      <c r="B39" s="1" t="s">
        <v>91</v>
      </c>
      <c r="C39" s="1" t="s">
        <v>91</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c r="X39" s="1">
        <v>5492000000</v>
      </c>
    </row>
    <row r="40" spans="1:24" ht="19" x14ac:dyDescent="0.25">
      <c r="A40" s="5" t="s">
        <v>32</v>
      </c>
      <c r="B40" s="1" t="s">
        <v>91</v>
      </c>
      <c r="C40" s="1" t="s">
        <v>91</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c r="X40" s="1">
        <v>12508000000</v>
      </c>
    </row>
    <row r="41" spans="1:24" ht="19" x14ac:dyDescent="0.25">
      <c r="A41" s="5" t="s">
        <v>33</v>
      </c>
      <c r="B41" s="1" t="s">
        <v>91</v>
      </c>
      <c r="C41" s="1" t="s">
        <v>91</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c r="X41" s="1">
        <v>10755000000</v>
      </c>
    </row>
    <row r="42" spans="1:2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row>
    <row r="43" spans="1:24" ht="19" x14ac:dyDescent="0.25">
      <c r="A43" s="5" t="s">
        <v>35</v>
      </c>
      <c r="B43" s="1" t="s">
        <v>91</v>
      </c>
      <c r="C43" s="1" t="s">
        <v>91</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c r="X43" s="1">
        <v>3132000000</v>
      </c>
    </row>
    <row r="44" spans="1:24" ht="19" x14ac:dyDescent="0.25">
      <c r="A44" s="6" t="s">
        <v>36</v>
      </c>
      <c r="B44" s="10" t="s">
        <v>91</v>
      </c>
      <c r="C44" s="10" t="s">
        <v>91</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c r="X44" s="10">
        <v>26395000000</v>
      </c>
    </row>
    <row r="45" spans="1:24" ht="19" x14ac:dyDescent="0.25">
      <c r="A45" s="5" t="s">
        <v>37</v>
      </c>
      <c r="B45" s="1" t="s">
        <v>91</v>
      </c>
      <c r="C45" s="1" t="s">
        <v>91</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c r="X45" s="1">
        <v>6592000000</v>
      </c>
    </row>
    <row r="46" spans="1:24" ht="19" x14ac:dyDescent="0.25">
      <c r="A46" s="5" t="s">
        <v>38</v>
      </c>
      <c r="B46" s="1" t="s">
        <v>91</v>
      </c>
      <c r="C46" s="1" t="s">
        <v>91</v>
      </c>
      <c r="D46" s="1" t="s">
        <v>91</v>
      </c>
      <c r="E46" s="1" t="s">
        <v>91</v>
      </c>
      <c r="F46" s="1" t="s">
        <v>91</v>
      </c>
      <c r="G46" s="1" t="s">
        <v>91</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c r="X46" s="1">
        <v>48568000000</v>
      </c>
    </row>
    <row r="47" spans="1:24" ht="19" x14ac:dyDescent="0.25">
      <c r="A47" s="5" t="s">
        <v>39</v>
      </c>
      <c r="B47" s="1" t="s">
        <v>91</v>
      </c>
      <c r="C47" s="1" t="s">
        <v>91</v>
      </c>
      <c r="D47" s="1" t="s">
        <v>91</v>
      </c>
      <c r="E47" s="1" t="s">
        <v>91</v>
      </c>
      <c r="F47" s="1" t="s">
        <v>91</v>
      </c>
      <c r="G47" s="1" t="s">
        <v>91</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c r="X47" s="1">
        <v>7125000000</v>
      </c>
    </row>
    <row r="48" spans="1:24" ht="19" x14ac:dyDescent="0.25">
      <c r="A48" s="5" t="s">
        <v>40</v>
      </c>
      <c r="B48" s="1" t="s">
        <v>91</v>
      </c>
      <c r="C48" s="1" t="s">
        <v>91</v>
      </c>
      <c r="D48" s="1" t="s">
        <v>91</v>
      </c>
      <c r="E48" s="1" t="s">
        <v>91</v>
      </c>
      <c r="F48" s="1" t="s">
        <v>91</v>
      </c>
      <c r="G48" s="1" t="s">
        <v>91</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c r="X48" s="1">
        <v>55693000000</v>
      </c>
    </row>
    <row r="49" spans="1:24" ht="19" x14ac:dyDescent="0.25">
      <c r="A49" s="5" t="s">
        <v>41</v>
      </c>
      <c r="B49" s="1" t="s">
        <v>91</v>
      </c>
      <c r="C49" s="1" t="s">
        <v>91</v>
      </c>
      <c r="D49" s="1" t="s">
        <v>91</v>
      </c>
      <c r="E49" s="1" t="s">
        <v>91</v>
      </c>
      <c r="F49" s="1" t="s">
        <v>91</v>
      </c>
      <c r="G49" s="1" t="s">
        <v>91</v>
      </c>
      <c r="H49" s="1" t="s">
        <v>91</v>
      </c>
      <c r="I49" s="1" t="s">
        <v>91</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c r="X49" s="1">
        <v>4672000000</v>
      </c>
    </row>
    <row r="50" spans="1:24" ht="19" x14ac:dyDescent="0.25">
      <c r="A50" s="5" t="s">
        <v>42</v>
      </c>
      <c r="B50" s="1" t="s">
        <v>91</v>
      </c>
      <c r="C50" s="1" t="s">
        <v>91</v>
      </c>
      <c r="D50" s="1" t="s">
        <v>91</v>
      </c>
      <c r="E50" s="1" t="s">
        <v>91</v>
      </c>
      <c r="F50" s="1" t="s">
        <v>91</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91</v>
      </c>
      <c r="U50" s="1" t="s">
        <v>91</v>
      </c>
      <c r="V50" s="1">
        <v>2693000000</v>
      </c>
      <c r="W50" s="1">
        <v>2623000000</v>
      </c>
      <c r="X50" s="1" t="s">
        <v>91</v>
      </c>
    </row>
    <row r="51" spans="1:24" ht="19" x14ac:dyDescent="0.25">
      <c r="A51" s="5" t="s">
        <v>43</v>
      </c>
      <c r="B51" s="1" t="s">
        <v>91</v>
      </c>
      <c r="C51" s="1" t="s">
        <v>91</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c r="X51" s="1">
        <v>5497000000</v>
      </c>
    </row>
    <row r="52" spans="1:24" ht="19" x14ac:dyDescent="0.25">
      <c r="A52" s="5" t="s">
        <v>44</v>
      </c>
      <c r="B52" s="1" t="s">
        <v>91</v>
      </c>
      <c r="C52" s="1" t="s">
        <v>91</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c r="X52" s="1">
        <v>72454000000</v>
      </c>
    </row>
    <row r="53" spans="1:24" ht="19" x14ac:dyDescent="0.25">
      <c r="A53" s="5" t="s">
        <v>45</v>
      </c>
      <c r="B53" s="1">
        <v>37047000</v>
      </c>
      <c r="C53" s="1">
        <v>29713000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row>
    <row r="54" spans="1:24" ht="20" thickBot="1" x14ac:dyDescent="0.3">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c r="X54" s="11">
        <v>98849000000</v>
      </c>
    </row>
    <row r="55" spans="1:24" ht="20" thickTop="1" x14ac:dyDescent="0.25">
      <c r="A55" s="5" t="s">
        <v>47</v>
      </c>
      <c r="B55" s="1" t="s">
        <v>91</v>
      </c>
      <c r="C55" s="1" t="s">
        <v>91</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91</v>
      </c>
      <c r="X55" s="1">
        <v>6743000000</v>
      </c>
    </row>
    <row r="56" spans="1:24" ht="19" x14ac:dyDescent="0.25">
      <c r="A56" s="5" t="s">
        <v>48</v>
      </c>
      <c r="B56" s="1" t="s">
        <v>91</v>
      </c>
      <c r="C56" s="1" t="s">
        <v>91</v>
      </c>
      <c r="D56" s="1">
        <v>531000</v>
      </c>
      <c r="E56" s="1">
        <v>78000</v>
      </c>
      <c r="F56" s="1">
        <v>563000</v>
      </c>
      <c r="G56" s="1">
        <v>615000</v>
      </c>
      <c r="H56" s="1">
        <v>176000</v>
      </c>
      <c r="I56" s="1" t="s">
        <v>91</v>
      </c>
      <c r="J56" s="1" t="s">
        <v>91</v>
      </c>
      <c r="K56" s="1" t="s">
        <v>91</v>
      </c>
      <c r="L56" s="1" t="s">
        <v>91</v>
      </c>
      <c r="M56" s="1">
        <v>496149000</v>
      </c>
      <c r="N56" s="1">
        <v>521278000</v>
      </c>
      <c r="O56" s="1">
        <v>572159000</v>
      </c>
      <c r="P56" s="1" t="s">
        <v>91</v>
      </c>
      <c r="Q56" s="1">
        <v>15402000</v>
      </c>
      <c r="R56" s="1">
        <v>19594000</v>
      </c>
      <c r="S56" s="1">
        <v>1127256000</v>
      </c>
      <c r="T56" s="1">
        <v>3000000</v>
      </c>
      <c r="U56" s="1">
        <v>750000000</v>
      </c>
      <c r="V56" s="1">
        <v>766000000</v>
      </c>
      <c r="W56" s="1">
        <v>686000000</v>
      </c>
      <c r="X56" s="1">
        <v>1772000000</v>
      </c>
    </row>
    <row r="57" spans="1:24" ht="19" x14ac:dyDescent="0.25">
      <c r="A57" s="5" t="s">
        <v>49</v>
      </c>
      <c r="B57" s="1" t="s">
        <v>91</v>
      </c>
      <c r="C57" s="1" t="s">
        <v>91</v>
      </c>
      <c r="D57" s="1" t="s">
        <v>91</v>
      </c>
      <c r="E57" s="1" t="s">
        <v>91</v>
      </c>
      <c r="F57" s="1" t="s">
        <v>91</v>
      </c>
      <c r="G57" s="1" t="s">
        <v>91</v>
      </c>
      <c r="H57" s="1" t="s">
        <v>91</v>
      </c>
      <c r="I57" s="1" t="s">
        <v>91</v>
      </c>
      <c r="J57" s="1">
        <v>3619000</v>
      </c>
      <c r="K57" s="1">
        <v>8424000</v>
      </c>
      <c r="L57" s="1">
        <v>49135000</v>
      </c>
      <c r="M57" s="1">
        <v>100471000</v>
      </c>
      <c r="N57" s="1">
        <v>120341000</v>
      </c>
      <c r="O57" s="1">
        <v>153026000</v>
      </c>
      <c r="P57" s="1">
        <v>184844000</v>
      </c>
      <c r="Q57" s="1">
        <v>205781000</v>
      </c>
      <c r="R57" s="1">
        <v>239699000</v>
      </c>
      <c r="S57" s="1">
        <v>305861000</v>
      </c>
      <c r="T57" s="1" t="s">
        <v>91</v>
      </c>
      <c r="U57" s="1" t="s">
        <v>91</v>
      </c>
      <c r="V57" s="1" t="s">
        <v>91</v>
      </c>
      <c r="W57" s="1" t="s">
        <v>91</v>
      </c>
      <c r="X57" s="1" t="s">
        <v>91</v>
      </c>
    </row>
    <row r="58" spans="1:24" ht="19" x14ac:dyDescent="0.25">
      <c r="A58" s="5" t="s">
        <v>50</v>
      </c>
      <c r="B58" s="1" t="s">
        <v>91</v>
      </c>
      <c r="C58" s="1" t="s">
        <v>91</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c r="X58" s="1">
        <v>17376000000</v>
      </c>
    </row>
    <row r="59" spans="1:24" ht="19" x14ac:dyDescent="0.25">
      <c r="A59" s="5" t="s">
        <v>51</v>
      </c>
      <c r="B59" s="1" t="s">
        <v>91</v>
      </c>
      <c r="C59" s="1" t="s">
        <v>91</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91</v>
      </c>
      <c r="V59" s="1" t="s">
        <v>91</v>
      </c>
      <c r="W59" s="1">
        <v>5474000000</v>
      </c>
      <c r="X59" s="1" t="s">
        <v>91</v>
      </c>
    </row>
    <row r="60" spans="1:24" ht="19" x14ac:dyDescent="0.25">
      <c r="A60" s="6" t="s">
        <v>52</v>
      </c>
      <c r="B60" s="10" t="s">
        <v>91</v>
      </c>
      <c r="C60" s="10" t="s">
        <v>91</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c r="X60" s="10">
        <v>25891000000</v>
      </c>
    </row>
    <row r="61" spans="1:24" ht="19" x14ac:dyDescent="0.25">
      <c r="A61" s="5" t="s">
        <v>53</v>
      </c>
      <c r="B61" s="1" t="s">
        <v>91</v>
      </c>
      <c r="C61" s="1" t="s">
        <v>91</v>
      </c>
      <c r="D61" s="1">
        <v>78000</v>
      </c>
      <c r="E61" s="1" t="s">
        <v>91</v>
      </c>
      <c r="F61" s="1">
        <v>721000</v>
      </c>
      <c r="G61" s="1">
        <v>184000</v>
      </c>
      <c r="H61" s="1">
        <v>6000</v>
      </c>
      <c r="I61" s="1" t="s">
        <v>91</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c r="X61" s="1">
        <v>12316000000</v>
      </c>
    </row>
    <row r="62" spans="1:24" ht="19" x14ac:dyDescent="0.25">
      <c r="A62" s="5" t="s">
        <v>50</v>
      </c>
      <c r="B62" s="1" t="s">
        <v>91</v>
      </c>
      <c r="C62" s="1" t="s">
        <v>91</v>
      </c>
      <c r="D62" s="1" t="s">
        <v>91</v>
      </c>
      <c r="E62" s="1" t="s">
        <v>91</v>
      </c>
      <c r="F62" s="1" t="s">
        <v>91</v>
      </c>
      <c r="G62" s="1" t="s">
        <v>91</v>
      </c>
      <c r="H62" s="1" t="s">
        <v>91</v>
      </c>
      <c r="I62" s="1" t="s">
        <v>91</v>
      </c>
      <c r="J62" s="1">
        <v>10263000</v>
      </c>
      <c r="K62" s="1">
        <v>14171000</v>
      </c>
      <c r="L62" s="1">
        <v>21702000</v>
      </c>
      <c r="M62" s="1">
        <v>88673000</v>
      </c>
      <c r="N62" s="1">
        <v>64355000</v>
      </c>
      <c r="O62" s="1">
        <v>48410000</v>
      </c>
      <c r="P62" s="1">
        <v>34681000</v>
      </c>
      <c r="Q62" s="1">
        <v>23886000</v>
      </c>
      <c r="R62" s="1">
        <v>37113000</v>
      </c>
      <c r="S62" s="1" t="s">
        <v>91</v>
      </c>
      <c r="T62" s="1" t="s">
        <v>91</v>
      </c>
      <c r="U62" s="1" t="s">
        <v>91</v>
      </c>
      <c r="V62" s="1" t="s">
        <v>91</v>
      </c>
      <c r="W62" s="1" t="s">
        <v>91</v>
      </c>
      <c r="X62" s="1" t="s">
        <v>91</v>
      </c>
    </row>
    <row r="63" spans="1:24" ht="19" x14ac:dyDescent="0.25">
      <c r="A63" s="5" t="s">
        <v>54</v>
      </c>
      <c r="B63" s="1" t="s">
        <v>91</v>
      </c>
      <c r="C63" s="1" t="s">
        <v>91</v>
      </c>
      <c r="D63" s="1" t="s">
        <v>91</v>
      </c>
      <c r="E63" s="1" t="s">
        <v>91</v>
      </c>
      <c r="F63" s="1" t="s">
        <v>91</v>
      </c>
      <c r="G63" s="1" t="s">
        <v>91</v>
      </c>
      <c r="H63" s="1" t="s">
        <v>91</v>
      </c>
      <c r="I63" s="1" t="s">
        <v>91</v>
      </c>
      <c r="J63" s="1" t="s">
        <v>91</v>
      </c>
      <c r="K63" s="1" t="s">
        <v>91</v>
      </c>
      <c r="L63" s="1">
        <v>18481000</v>
      </c>
      <c r="M63" s="1" t="s">
        <v>91</v>
      </c>
      <c r="N63" s="1" t="s">
        <v>91</v>
      </c>
      <c r="O63" s="1">
        <v>108760000</v>
      </c>
      <c r="P63" s="1">
        <v>94396000</v>
      </c>
      <c r="Q63" s="1">
        <v>85996000</v>
      </c>
      <c r="R63" s="1">
        <v>99378000</v>
      </c>
      <c r="S63" s="1">
        <v>115717000</v>
      </c>
      <c r="T63" s="1" t="s">
        <v>91</v>
      </c>
      <c r="U63" s="1" t="s">
        <v>91</v>
      </c>
      <c r="V63" s="1" t="s">
        <v>91</v>
      </c>
      <c r="W63" s="1" t="s">
        <v>91</v>
      </c>
      <c r="X63" s="1" t="s">
        <v>91</v>
      </c>
    </row>
    <row r="64" spans="1:24" ht="19" x14ac:dyDescent="0.25">
      <c r="A64" s="5" t="s">
        <v>55</v>
      </c>
      <c r="B64" s="1" t="s">
        <v>91</v>
      </c>
      <c r="C64" s="1" t="s">
        <v>91</v>
      </c>
      <c r="D64" s="1">
        <v>66265000</v>
      </c>
      <c r="E64" s="1">
        <v>62967000</v>
      </c>
      <c r="F64" s="1">
        <v>1596000</v>
      </c>
      <c r="G64" s="1">
        <v>1155000</v>
      </c>
      <c r="H64" s="1">
        <v>1402000</v>
      </c>
      <c r="I64" s="1">
        <v>22674000</v>
      </c>
      <c r="J64" s="1" t="s">
        <v>91</v>
      </c>
      <c r="K64" s="1">
        <v>17551000</v>
      </c>
      <c r="L64" s="1" t="s">
        <v>91</v>
      </c>
      <c r="M64" s="1">
        <v>37258000</v>
      </c>
      <c r="N64" s="1">
        <v>49074000</v>
      </c>
      <c r="O64" s="1">
        <v>13953000</v>
      </c>
      <c r="P64" s="1">
        <v>1026000</v>
      </c>
      <c r="Q64" s="1">
        <v>66000</v>
      </c>
      <c r="R64" s="1" t="s">
        <v>91</v>
      </c>
      <c r="S64" s="1" t="s">
        <v>91</v>
      </c>
      <c r="T64" s="1">
        <v>704000000</v>
      </c>
      <c r="U64" s="1">
        <v>1278000000</v>
      </c>
      <c r="V64" s="1">
        <v>1565000000</v>
      </c>
      <c r="W64" s="1">
        <v>1995000000</v>
      </c>
      <c r="X64" s="1">
        <v>2283000000</v>
      </c>
    </row>
    <row r="65" spans="1:24" ht="19" x14ac:dyDescent="0.25">
      <c r="A65" s="5" t="s">
        <v>56</v>
      </c>
      <c r="B65" s="1" t="s">
        <v>91</v>
      </c>
      <c r="C65" s="1" t="s">
        <v>91</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c r="X65" s="1">
        <v>14599000000</v>
      </c>
    </row>
    <row r="66" spans="1:24" ht="19" x14ac:dyDescent="0.25">
      <c r="A66" s="5" t="s">
        <v>57</v>
      </c>
      <c r="B66" s="1">
        <v>66376000</v>
      </c>
      <c r="C66" s="1">
        <v>19924000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c r="X67" s="10">
        <v>40490000000</v>
      </c>
    </row>
    <row r="68" spans="1:24" ht="19" x14ac:dyDescent="0.25">
      <c r="A68" s="5" t="s">
        <v>59</v>
      </c>
      <c r="B68" s="1" t="s">
        <v>91</v>
      </c>
      <c r="C68" s="1" t="s">
        <v>91</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c r="X68" s="1">
        <v>1000000</v>
      </c>
    </row>
    <row r="69" spans="1:24"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c r="X69" s="1">
        <v>7585000000</v>
      </c>
    </row>
    <row r="70" spans="1:24" ht="19" x14ac:dyDescent="0.25">
      <c r="A70" s="5" t="s">
        <v>61</v>
      </c>
      <c r="B70" s="1" t="s">
        <v>91</v>
      </c>
      <c r="C70" s="1" t="s">
        <v>91</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c r="X70" s="1">
        <v>-274000000</v>
      </c>
    </row>
    <row r="71" spans="1:24"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c r="X71" s="1">
        <v>51047000000</v>
      </c>
    </row>
    <row r="72" spans="1:24"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c r="X72" s="10">
        <v>58359000000</v>
      </c>
    </row>
    <row r="73" spans="1:24" ht="20" thickBot="1" x14ac:dyDescent="0.3">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c r="X73" s="11">
        <v>98849000000</v>
      </c>
    </row>
    <row r="74" spans="1:2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t="s">
        <v>91</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c r="X76" s="1">
        <v>208000000</v>
      </c>
    </row>
    <row r="77" spans="1:24" ht="19" x14ac:dyDescent="0.25">
      <c r="A77" s="5" t="s">
        <v>13</v>
      </c>
      <c r="B77" s="1" t="s">
        <v>91</v>
      </c>
      <c r="C77" s="1" t="s">
        <v>91</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c r="X77" s="1">
        <v>3786000000</v>
      </c>
    </row>
    <row r="78" spans="1:24" ht="19" x14ac:dyDescent="0.25">
      <c r="A78" s="5" t="s">
        <v>67</v>
      </c>
      <c r="B78" s="1" t="s">
        <v>91</v>
      </c>
      <c r="C78" s="1" t="s">
        <v>91</v>
      </c>
      <c r="D78" s="1" t="s">
        <v>91</v>
      </c>
      <c r="E78" s="1" t="s">
        <v>91</v>
      </c>
      <c r="F78" s="1" t="s">
        <v>91</v>
      </c>
      <c r="G78" s="1" t="s">
        <v>91</v>
      </c>
      <c r="H78" s="1" t="s">
        <v>91</v>
      </c>
      <c r="I78" s="1">
        <v>-970000</v>
      </c>
      <c r="J78" s="1" t="s">
        <v>91</v>
      </c>
      <c r="K78" s="1" t="s">
        <v>91</v>
      </c>
      <c r="L78" s="1" t="s">
        <v>91</v>
      </c>
      <c r="M78" s="1" t="s">
        <v>91</v>
      </c>
      <c r="N78" s="1" t="s">
        <v>91</v>
      </c>
      <c r="O78" s="1" t="s">
        <v>91</v>
      </c>
      <c r="P78" s="1" t="s">
        <v>91</v>
      </c>
      <c r="Q78" s="1" t="s">
        <v>91</v>
      </c>
      <c r="R78" s="1" t="s">
        <v>91</v>
      </c>
      <c r="S78" s="1" t="s">
        <v>91</v>
      </c>
      <c r="T78" s="1" t="s">
        <v>91</v>
      </c>
      <c r="U78" s="1" t="s">
        <v>91</v>
      </c>
      <c r="V78" s="1">
        <v>-2003000000</v>
      </c>
      <c r="W78" s="1" t="s">
        <v>91</v>
      </c>
      <c r="X78" s="1" t="s">
        <v>91</v>
      </c>
    </row>
    <row r="79" spans="1:24" ht="19" x14ac:dyDescent="0.25">
      <c r="A79" s="5" t="s">
        <v>68</v>
      </c>
      <c r="B79" s="1" t="s">
        <v>91</v>
      </c>
      <c r="C79" s="1" t="s">
        <v>91</v>
      </c>
      <c r="D79" s="1" t="s">
        <v>91</v>
      </c>
      <c r="E79" s="1" t="s">
        <v>91</v>
      </c>
      <c r="F79" s="1" t="s">
        <v>91</v>
      </c>
      <c r="G79" s="1" t="s">
        <v>91</v>
      </c>
      <c r="H79" s="1" t="s">
        <v>91</v>
      </c>
      <c r="I79" s="1" t="s">
        <v>91</v>
      </c>
      <c r="J79" s="1" t="s">
        <v>91</v>
      </c>
      <c r="K79" s="1" t="s">
        <v>91</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c r="X79" s="1">
        <v>3279000000</v>
      </c>
    </row>
    <row r="80" spans="1:24" ht="19" x14ac:dyDescent="0.25">
      <c r="A80" s="14" t="s">
        <v>103</v>
      </c>
      <c r="B80" s="15" t="e">
        <f t="shared" ref="B80:W80" si="46">B79/B3</f>
        <v>#VALUE!</v>
      </c>
      <c r="C80" s="15" t="e">
        <f t="shared" si="46"/>
        <v>#VALUE!</v>
      </c>
      <c r="D80" s="15" t="e">
        <f t="shared" si="46"/>
        <v>#VALUE!</v>
      </c>
      <c r="E80" s="15" t="e">
        <f t="shared" si="46"/>
        <v>#VALUE!</v>
      </c>
      <c r="F80" s="15" t="e">
        <f t="shared" si="46"/>
        <v>#VALUE!</v>
      </c>
      <c r="G80" s="15" t="e">
        <f t="shared" si="46"/>
        <v>#VALUE!</v>
      </c>
      <c r="H80" s="15" t="e">
        <f t="shared" si="46"/>
        <v>#VALUE!</v>
      </c>
      <c r="I80" s="15" t="e">
        <f t="shared" si="46"/>
        <v>#VALUE!</v>
      </c>
      <c r="J80" s="15" t="e">
        <f t="shared" si="46"/>
        <v>#VALUE!</v>
      </c>
      <c r="K80" s="15" t="e">
        <f t="shared" si="46"/>
        <v>#VALUE!</v>
      </c>
      <c r="L80" s="15">
        <f t="shared" si="46"/>
        <v>7.2672841566096755E-2</v>
      </c>
      <c r="M80" s="15">
        <f t="shared" si="46"/>
        <v>0.10114893235898434</v>
      </c>
      <c r="N80" s="15">
        <f t="shared" si="46"/>
        <v>0.12436909771342487</v>
      </c>
      <c r="O80" s="15">
        <f t="shared" si="46"/>
        <v>0.12362555370261334</v>
      </c>
      <c r="P80" s="15">
        <f t="shared" si="46"/>
        <v>0.10510020682650283</v>
      </c>
      <c r="Q80" s="15">
        <f t="shared" si="46"/>
        <v>8.9036863362458932E-2</v>
      </c>
      <c r="R80" s="15">
        <f t="shared" si="46"/>
        <v>9.7756025273642091E-2</v>
      </c>
      <c r="S80" s="15">
        <f t="shared" si="46"/>
        <v>9.5134719311390101E-2</v>
      </c>
      <c r="T80" s="15">
        <f t="shared" si="46"/>
        <v>9.659689805752146E-2</v>
      </c>
      <c r="U80" s="15">
        <f t="shared" si="46"/>
        <v>0.10439817522517253</v>
      </c>
      <c r="V80" s="15">
        <f t="shared" si="46"/>
        <v>0.10304912478825522</v>
      </c>
      <c r="W80" s="15">
        <f t="shared" si="46"/>
        <v>0.10489959232975993</v>
      </c>
      <c r="X80" s="15">
        <f t="shared" ref="X80" si="47">X79/X3</f>
        <v>0.10458662924215362</v>
      </c>
    </row>
    <row r="81" spans="1:32" ht="19" x14ac:dyDescent="0.25">
      <c r="A81" s="5" t="s">
        <v>69</v>
      </c>
      <c r="B81" s="1" t="s">
        <v>91</v>
      </c>
      <c r="C81" s="1" t="s">
        <v>91</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c r="X81" s="1">
        <v>-162000000</v>
      </c>
    </row>
    <row r="82" spans="1:32" ht="19" x14ac:dyDescent="0.25">
      <c r="A82" s="5" t="s">
        <v>70</v>
      </c>
      <c r="B82" s="1" t="s">
        <v>91</v>
      </c>
      <c r="C82" s="1" t="s">
        <v>91</v>
      </c>
      <c r="D82" s="1" t="s">
        <v>91</v>
      </c>
      <c r="E82" s="1" t="s">
        <v>91</v>
      </c>
      <c r="F82" s="1" t="s">
        <v>91</v>
      </c>
      <c r="G82" s="1" t="s">
        <v>91</v>
      </c>
      <c r="H82" s="1" t="s">
        <v>91</v>
      </c>
      <c r="I82" s="1" t="s">
        <v>91</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c r="X82" s="1">
        <v>-995000000</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AE83" s="71" t="s">
        <v>123</v>
      </c>
      <c r="AF83" s="72"/>
    </row>
    <row r="84" spans="1:32" ht="19" x14ac:dyDescent="0.25">
      <c r="A84" s="5" t="s">
        <v>47</v>
      </c>
      <c r="B84" s="1" t="s">
        <v>91</v>
      </c>
      <c r="C84" s="1" t="s">
        <v>91</v>
      </c>
      <c r="D84" s="1" t="s">
        <v>91</v>
      </c>
      <c r="E84" s="1" t="s">
        <v>91</v>
      </c>
      <c r="F84" s="1" t="s">
        <v>91</v>
      </c>
      <c r="G84" s="1" t="s">
        <v>91</v>
      </c>
      <c r="H84" s="1" t="s">
        <v>91</v>
      </c>
      <c r="I84" s="1" t="s">
        <v>91</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X84" s="1">
        <v>528000000</v>
      </c>
      <c r="AE84" s="73" t="s">
        <v>124</v>
      </c>
      <c r="AF84" s="74"/>
    </row>
    <row r="85" spans="1:32" ht="20" x14ac:dyDescent="0.25">
      <c r="A85" s="5" t="s">
        <v>71</v>
      </c>
      <c r="B85" s="1" t="s">
        <v>91</v>
      </c>
      <c r="C85" s="1" t="s">
        <v>91</v>
      </c>
      <c r="D85" s="1" t="s">
        <v>91</v>
      </c>
      <c r="E85" s="1" t="s">
        <v>91</v>
      </c>
      <c r="F85" s="1" t="s">
        <v>91</v>
      </c>
      <c r="G85" s="1" t="s">
        <v>91</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X85" s="1" t="s">
        <v>91</v>
      </c>
      <c r="AE85" s="23" t="s">
        <v>125</v>
      </c>
      <c r="AF85" s="24">
        <f>X17</f>
        <v>287160000</v>
      </c>
    </row>
    <row r="86" spans="1:32" ht="20" x14ac:dyDescent="0.25">
      <c r="A86" s="5" t="s">
        <v>72</v>
      </c>
      <c r="B86" s="1" t="s">
        <v>91</v>
      </c>
      <c r="C86" s="1" t="s">
        <v>91</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X86" s="1" t="s">
        <v>91</v>
      </c>
      <c r="AE86" s="23" t="s">
        <v>126</v>
      </c>
      <c r="AF86" s="24">
        <f>X56</f>
        <v>1772000000</v>
      </c>
    </row>
    <row r="87" spans="1:32" ht="20" x14ac:dyDescent="0.25">
      <c r="A87" s="6" t="s">
        <v>73</v>
      </c>
      <c r="B87" s="10" t="s">
        <v>91</v>
      </c>
      <c r="C87" s="10" t="s">
        <v>91</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X87" s="10">
        <v>7111000000</v>
      </c>
      <c r="AE87" s="23" t="s">
        <v>127</v>
      </c>
      <c r="AF87" s="24">
        <f>X61</f>
        <v>12316000000</v>
      </c>
    </row>
    <row r="88" spans="1:32" ht="20" x14ac:dyDescent="0.25">
      <c r="A88" s="5" t="s">
        <v>74</v>
      </c>
      <c r="B88" s="1" t="s">
        <v>91</v>
      </c>
      <c r="C88" s="1" t="s">
        <v>91</v>
      </c>
      <c r="D88" s="1">
        <v>-2022000</v>
      </c>
      <c r="E88" s="1">
        <v>-2916000</v>
      </c>
      <c r="F88" s="1">
        <v>-4308000</v>
      </c>
      <c r="G88" s="1">
        <v>-23434000</v>
      </c>
      <c r="H88" s="1">
        <v>-22123000</v>
      </c>
      <c r="I88" s="1">
        <v>-43552000</v>
      </c>
      <c r="J88" s="1" t="s">
        <v>91</v>
      </c>
      <c r="K88" s="1" t="s">
        <v>91</v>
      </c>
      <c r="L88" s="1">
        <v>-277944000</v>
      </c>
      <c r="M88" s="1">
        <v>-19655000</v>
      </c>
      <c r="N88" s="1">
        <v>-4106000</v>
      </c>
      <c r="O88" s="1">
        <v>0</v>
      </c>
      <c r="P88" s="1">
        <v>-126435000</v>
      </c>
      <c r="Q88" s="1">
        <v>-425376000</v>
      </c>
      <c r="R88" s="1">
        <v>0</v>
      </c>
      <c r="S88" s="1">
        <v>0</v>
      </c>
      <c r="T88" s="1">
        <v>-595000000</v>
      </c>
      <c r="U88" s="1">
        <v>-643000000</v>
      </c>
      <c r="V88" s="1">
        <v>-710000000</v>
      </c>
      <c r="W88" s="1">
        <v>-717000000</v>
      </c>
      <c r="X88" s="1">
        <v>-798000000</v>
      </c>
      <c r="AE88" s="30" t="s">
        <v>128</v>
      </c>
      <c r="AF88" s="31">
        <f>AF85/(AF86+AF87)</f>
        <v>2.0383304940374786E-2</v>
      </c>
    </row>
    <row r="89" spans="1:32" ht="20" customHeight="1" x14ac:dyDescent="0.25">
      <c r="A89" s="14" t="s">
        <v>104</v>
      </c>
      <c r="B89" s="15" t="e">
        <f t="shared" ref="B89:W89" si="48">(-1*B88)/B3</f>
        <v>#VALUE!</v>
      </c>
      <c r="C89" s="15" t="e">
        <f t="shared" si="48"/>
        <v>#VALUE!</v>
      </c>
      <c r="D89" s="15">
        <f t="shared" si="48"/>
        <v>3.9654056598223214E-2</v>
      </c>
      <c r="E89" s="15">
        <f t="shared" si="48"/>
        <v>3.0367724399362653E-2</v>
      </c>
      <c r="F89" s="15">
        <f t="shared" si="48"/>
        <v>2.4425230333097094E-2</v>
      </c>
      <c r="G89" s="15">
        <f t="shared" si="48"/>
        <v>7.5628435052298312E-2</v>
      </c>
      <c r="H89" s="15">
        <f t="shared" si="48"/>
        <v>4.450430297446379E-2</v>
      </c>
      <c r="I89" s="15">
        <f t="shared" si="48"/>
        <v>5.8170161613463334E-2</v>
      </c>
      <c r="J89" s="15" t="e">
        <f t="shared" si="48"/>
        <v>#VALUE!</v>
      </c>
      <c r="K89" s="15" t="e">
        <f t="shared" si="48"/>
        <v>#VALUE!</v>
      </c>
      <c r="L89" s="15">
        <f t="shared" si="48"/>
        <v>0.16772521798111081</v>
      </c>
      <c r="M89" s="15">
        <f t="shared" si="48"/>
        <v>8.6718119564675473E-3</v>
      </c>
      <c r="N89" s="15">
        <f t="shared" si="48"/>
        <v>1.346143443288052E-3</v>
      </c>
      <c r="O89" s="15">
        <f t="shared" si="48"/>
        <v>0</v>
      </c>
      <c r="P89" s="15">
        <f t="shared" si="48"/>
        <v>2.3528980461092461E-2</v>
      </c>
      <c r="Q89" s="15">
        <f t="shared" si="48"/>
        <v>6.3801142785834444E-2</v>
      </c>
      <c r="R89" s="15">
        <f t="shared" si="48"/>
        <v>0</v>
      </c>
      <c r="S89" s="15">
        <f t="shared" si="48"/>
        <v>0</v>
      </c>
      <c r="T89" s="15">
        <f t="shared" si="48"/>
        <v>4.4797470260502938E-2</v>
      </c>
      <c r="U89" s="15">
        <f t="shared" si="48"/>
        <v>3.7606737630132177E-2</v>
      </c>
      <c r="V89" s="15">
        <f t="shared" si="48"/>
        <v>3.3408620365142104E-2</v>
      </c>
      <c r="W89" s="15">
        <f t="shared" si="48"/>
        <v>2.7064774271478183E-2</v>
      </c>
      <c r="X89" s="15">
        <f t="shared" ref="X89" si="49">(-1*X88)/X3</f>
        <v>2.5452921663689718E-2</v>
      </c>
      <c r="AE89" s="23" t="s">
        <v>105</v>
      </c>
      <c r="AF89" s="24">
        <f>X27</f>
        <v>452000000</v>
      </c>
    </row>
    <row r="90" spans="1:32" ht="20" x14ac:dyDescent="0.25">
      <c r="A90" s="5" t="s">
        <v>75</v>
      </c>
      <c r="B90" s="1" t="s">
        <v>91</v>
      </c>
      <c r="C90" s="1" t="s">
        <v>91</v>
      </c>
      <c r="D90" s="1" t="s">
        <v>91</v>
      </c>
      <c r="E90" s="1" t="s">
        <v>91</v>
      </c>
      <c r="F90" s="1" t="s">
        <v>91</v>
      </c>
      <c r="G90" s="1" t="s">
        <v>91</v>
      </c>
      <c r="H90" s="1">
        <v>-15502000</v>
      </c>
      <c r="I90" s="1" t="s">
        <v>91</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X90" s="1">
        <v>-439000000</v>
      </c>
      <c r="AE90" s="23" t="s">
        <v>19</v>
      </c>
      <c r="AF90" s="24">
        <f>X25</f>
        <v>660000000</v>
      </c>
    </row>
    <row r="91" spans="1:32" ht="20" x14ac:dyDescent="0.25">
      <c r="A91" s="5" t="s">
        <v>76</v>
      </c>
      <c r="B91" s="1" t="s">
        <v>91</v>
      </c>
      <c r="C91" s="1" t="s">
        <v>91</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X91" s="1">
        <v>-5327000000</v>
      </c>
      <c r="AE91" s="30" t="s">
        <v>129</v>
      </c>
      <c r="AF91" s="31">
        <f>AF89/AF90</f>
        <v>0.68484848484848482</v>
      </c>
    </row>
    <row r="92" spans="1:32" ht="20" x14ac:dyDescent="0.25">
      <c r="A92" s="5" t="s">
        <v>77</v>
      </c>
      <c r="B92" s="1" t="s">
        <v>91</v>
      </c>
      <c r="C92" s="1" t="s">
        <v>91</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X92" s="1">
        <v>4575000000</v>
      </c>
      <c r="AE92" s="32" t="s">
        <v>130</v>
      </c>
      <c r="AF92" s="33">
        <f>AF88*(1-AF91)</f>
        <v>6.4238294357544783E-3</v>
      </c>
    </row>
    <row r="93" spans="1:32" ht="19" x14ac:dyDescent="0.25">
      <c r="A93" s="5" t="s">
        <v>78</v>
      </c>
      <c r="B93" s="1" t="s">
        <v>91</v>
      </c>
      <c r="C93" s="1" t="s">
        <v>91</v>
      </c>
      <c r="D93" s="1">
        <v>-233000</v>
      </c>
      <c r="E93" s="1">
        <v>-179000</v>
      </c>
      <c r="F93" s="1">
        <v>721000</v>
      </c>
      <c r="G93" s="1">
        <v>3191000</v>
      </c>
      <c r="H93" s="1">
        <v>-2777000</v>
      </c>
      <c r="I93" s="1" t="s">
        <v>91</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X93" s="1">
        <v>-798000000</v>
      </c>
      <c r="AE93" s="73" t="s">
        <v>131</v>
      </c>
      <c r="AF93" s="74"/>
    </row>
    <row r="94" spans="1:32" ht="20" x14ac:dyDescent="0.25">
      <c r="A94" s="6" t="s">
        <v>79</v>
      </c>
      <c r="B94" s="10" t="s">
        <v>91</v>
      </c>
      <c r="C94" s="10" t="s">
        <v>91</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X94" s="10">
        <v>-1989000000</v>
      </c>
      <c r="AE94" s="23" t="s">
        <v>132</v>
      </c>
      <c r="AF94" s="34">
        <f>[1]Treasuries!$C$8</f>
        <v>3.7229999999999999E-2</v>
      </c>
    </row>
    <row r="95" spans="1:32" ht="20" x14ac:dyDescent="0.25">
      <c r="A95" s="5" t="s">
        <v>80</v>
      </c>
      <c r="B95" s="1" t="s">
        <v>91</v>
      </c>
      <c r="C95" s="1" t="s">
        <v>91</v>
      </c>
      <c r="D95" s="1" t="s">
        <v>91</v>
      </c>
      <c r="E95" s="1" t="s">
        <v>91</v>
      </c>
      <c r="F95" s="1" t="s">
        <v>91</v>
      </c>
      <c r="G95" s="1" t="s">
        <v>91</v>
      </c>
      <c r="H95" s="1" t="s">
        <v>91</v>
      </c>
      <c r="I95" s="1" t="s">
        <v>91</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X95" s="1">
        <v>-423000000</v>
      </c>
      <c r="AE95" s="23" t="s">
        <v>133</v>
      </c>
      <c r="AF95" s="54" cm="1">
        <f t="array" ref="AF95">_FV(A1,"Beta")</f>
        <v>1.2126999999999999</v>
      </c>
    </row>
    <row r="96" spans="1:32" ht="20" x14ac:dyDescent="0.25">
      <c r="A96" s="5" t="s">
        <v>81</v>
      </c>
      <c r="B96" s="1" t="s">
        <v>91</v>
      </c>
      <c r="C96" s="1" t="s">
        <v>91</v>
      </c>
      <c r="D96" s="1">
        <v>2131000</v>
      </c>
      <c r="E96" s="1">
        <v>1647000</v>
      </c>
      <c r="F96" s="1">
        <v>118554000</v>
      </c>
      <c r="G96" s="1">
        <v>15735000</v>
      </c>
      <c r="H96" s="1">
        <v>29082000</v>
      </c>
      <c r="I96" s="1">
        <v>60910000</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X96" s="1" t="s">
        <v>91</v>
      </c>
      <c r="AE96" s="23" t="s">
        <v>134</v>
      </c>
      <c r="AF96" s="34">
        <v>8.4000000000000005E-2</v>
      </c>
    </row>
    <row r="97" spans="1:32" ht="20" x14ac:dyDescent="0.25">
      <c r="A97" s="5" t="s">
        <v>82</v>
      </c>
      <c r="B97" s="1" t="s">
        <v>91</v>
      </c>
      <c r="C97" s="1" t="s">
        <v>91</v>
      </c>
      <c r="D97" s="1">
        <v>-342000</v>
      </c>
      <c r="E97" s="1">
        <v>-17000</v>
      </c>
      <c r="F97" s="1">
        <v>-254000</v>
      </c>
      <c r="G97" s="1">
        <v>-28000</v>
      </c>
      <c r="H97" s="1">
        <v>-12000</v>
      </c>
      <c r="I97" s="1" t="s">
        <v>91</v>
      </c>
      <c r="J97" s="1" t="s">
        <v>91</v>
      </c>
      <c r="K97" s="1" t="s">
        <v>91</v>
      </c>
      <c r="L97" s="1">
        <v>-171964000</v>
      </c>
      <c r="M97" s="1" t="s">
        <v>91</v>
      </c>
      <c r="N97" s="1" t="s">
        <v>91</v>
      </c>
      <c r="O97" s="1" t="s">
        <v>91</v>
      </c>
      <c r="P97" s="1" t="s">
        <v>91</v>
      </c>
      <c r="Q97" s="1" t="s">
        <v>91</v>
      </c>
      <c r="R97" s="1" t="s">
        <v>91</v>
      </c>
      <c r="S97" s="1" t="s">
        <v>91</v>
      </c>
      <c r="T97" s="1" t="s">
        <v>91</v>
      </c>
      <c r="U97" s="1" t="s">
        <v>91</v>
      </c>
      <c r="V97" s="1" t="s">
        <v>91</v>
      </c>
      <c r="W97" s="1" t="s">
        <v>91</v>
      </c>
      <c r="X97" s="1">
        <v>-4000000000</v>
      </c>
      <c r="AE97" s="32" t="s">
        <v>135</v>
      </c>
      <c r="AF97" s="33">
        <f>(AF94)+((AF95)*(AF96-AF94))</f>
        <v>9.3947979000000001E-2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v>0</v>
      </c>
      <c r="AE98" s="73" t="s">
        <v>136</v>
      </c>
      <c r="AF98" s="74"/>
    </row>
    <row r="99" spans="1:32" ht="20" x14ac:dyDescent="0.25">
      <c r="A99" s="5" t="s">
        <v>84</v>
      </c>
      <c r="B99" s="1" t="s">
        <v>91</v>
      </c>
      <c r="C99" s="1" t="s">
        <v>91</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X99" s="1">
        <v>861000000</v>
      </c>
      <c r="AE99" s="23" t="s">
        <v>137</v>
      </c>
      <c r="AF99" s="24">
        <f>AF86+AF87</f>
        <v>14088000000</v>
      </c>
    </row>
    <row r="100" spans="1:32" ht="20" x14ac:dyDescent="0.25">
      <c r="A100" s="6" t="s">
        <v>85</v>
      </c>
      <c r="B100" s="10" t="s">
        <v>91</v>
      </c>
      <c r="C100" s="10" t="s">
        <v>91</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X100" s="10">
        <v>-3562000000</v>
      </c>
      <c r="AE100" s="30" t="s">
        <v>138</v>
      </c>
      <c r="AF100" s="31">
        <f>AF99/AF103</f>
        <v>6.4438223832263025E-2</v>
      </c>
    </row>
    <row r="101" spans="1:32" ht="20" x14ac:dyDescent="0.25">
      <c r="A101" s="5" t="s">
        <v>86</v>
      </c>
      <c r="B101" s="1" t="s">
        <v>91</v>
      </c>
      <c r="C101" s="1" t="s">
        <v>91</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X101" s="1">
        <v>-8000000</v>
      </c>
      <c r="AE101" s="23" t="s">
        <v>139</v>
      </c>
      <c r="AF101" s="46" cm="1">
        <f t="array" ref="AF101">_FV(A1,"Market cap",TRUE)</f>
        <v>204540000000</v>
      </c>
    </row>
    <row r="102" spans="1:32" ht="20" x14ac:dyDescent="0.25">
      <c r="A102" s="6" t="s">
        <v>87</v>
      </c>
      <c r="B102" s="10" t="s">
        <v>91</v>
      </c>
      <c r="C102" s="10" t="s">
        <v>91</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X102" s="10" t="s">
        <v>91</v>
      </c>
      <c r="AE102" s="30" t="s">
        <v>140</v>
      </c>
      <c r="AF102" s="31">
        <f>AF101/AF103</f>
        <v>0.93556177616773695</v>
      </c>
    </row>
    <row r="103" spans="1:32" ht="20" x14ac:dyDescent="0.25">
      <c r="A103" s="5" t="s">
        <v>88</v>
      </c>
      <c r="B103" s="1" t="s">
        <v>91</v>
      </c>
      <c r="C103" s="1" t="s">
        <v>91</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X103" s="1">
        <v>7016000000</v>
      </c>
      <c r="AE103" s="32" t="s">
        <v>141</v>
      </c>
      <c r="AF103" s="35">
        <f>AF99+AF101</f>
        <v>218628000000</v>
      </c>
    </row>
    <row r="104" spans="1:32" ht="20" thickBot="1" x14ac:dyDescent="0.3">
      <c r="A104" s="7" t="s">
        <v>89</v>
      </c>
      <c r="B104" s="11" t="s">
        <v>91</v>
      </c>
      <c r="C104" s="11" t="s">
        <v>91</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X104" s="11">
        <v>7016000000</v>
      </c>
      <c r="AE104" s="73" t="s">
        <v>142</v>
      </c>
      <c r="AF104" s="74"/>
    </row>
    <row r="105" spans="1:32" ht="20" customHeight="1" thickTop="1" x14ac:dyDescent="0.25">
      <c r="A105" s="14" t="s">
        <v>158</v>
      </c>
      <c r="C105" s="1" t="e">
        <f t="shared" ref="C105:W105" si="50">(C22*(1-$AF$91))+C77+C88+C81</f>
        <v>#VALUE!</v>
      </c>
      <c r="D105" s="1">
        <f t="shared" si="50"/>
        <v>4622909.0909090899</v>
      </c>
      <c r="E105" s="1">
        <f t="shared" si="50"/>
        <v>15456733.333333334</v>
      </c>
      <c r="F105" s="1">
        <f t="shared" si="50"/>
        <v>41143787.878787875</v>
      </c>
      <c r="G105" s="1">
        <f t="shared" si="50"/>
        <v>49638175.757575758</v>
      </c>
      <c r="H105" s="1">
        <f t="shared" si="50"/>
        <v>62635084.848484851</v>
      </c>
      <c r="I105" s="1">
        <f t="shared" si="50"/>
        <v>123308412.12121212</v>
      </c>
      <c r="J105" s="1" t="e">
        <f t="shared" si="50"/>
        <v>#VALUE!</v>
      </c>
      <c r="K105" s="1" t="e">
        <f t="shared" si="50"/>
        <v>#VALUE!</v>
      </c>
      <c r="L105" s="1">
        <f t="shared" si="50"/>
        <v>-42051672.727272719</v>
      </c>
      <c r="M105" s="1">
        <f t="shared" si="50"/>
        <v>231584909.09090909</v>
      </c>
      <c r="N105" s="1">
        <f t="shared" si="50"/>
        <v>425024575.75757575</v>
      </c>
      <c r="O105" s="1">
        <f t="shared" si="50"/>
        <v>278002345.45454544</v>
      </c>
      <c r="P105" s="1">
        <f t="shared" si="50"/>
        <v>415072539.39393938</v>
      </c>
      <c r="Q105" s="1">
        <f t="shared" si="50"/>
        <v>448589157.57575762</v>
      </c>
      <c r="R105" s="1">
        <f t="shared" si="50"/>
        <v>794055551.5151515</v>
      </c>
      <c r="S105" s="1">
        <f t="shared" si="50"/>
        <v>1191847642.4242425</v>
      </c>
      <c r="T105" s="1">
        <f t="shared" si="50"/>
        <v>363606060.6060605</v>
      </c>
      <c r="U105" s="1">
        <f t="shared" si="50"/>
        <v>1255600000</v>
      </c>
      <c r="V105" s="1">
        <f t="shared" si="50"/>
        <v>1087393939.3939395</v>
      </c>
      <c r="W105" s="1">
        <f t="shared" si="50"/>
        <v>1095703030.3030305</v>
      </c>
      <c r="X105" s="1">
        <f>(X22*(1-$AF$91))+X77+X88+X81</f>
        <v>3150606060.6060605</v>
      </c>
      <c r="Y105" s="53">
        <f>X105*(1+$AF$106)</f>
        <v>3516946798.2716246</v>
      </c>
      <c r="Z105" s="53">
        <f t="shared" ref="Z105:AC105" si="51">Y105*(1+$AF$106)</f>
        <v>3925884272.4036746</v>
      </c>
      <c r="AA105" s="53">
        <f t="shared" si="51"/>
        <v>4382371472.8584785</v>
      </c>
      <c r="AB105" s="53">
        <f t="shared" si="51"/>
        <v>4891937304.7043905</v>
      </c>
      <c r="AC105" s="53">
        <f t="shared" si="51"/>
        <v>5460753553.4976025</v>
      </c>
      <c r="AD105" s="36" t="s">
        <v>160</v>
      </c>
      <c r="AE105" s="25" t="s">
        <v>106</v>
      </c>
      <c r="AF105" s="26">
        <f>(AF100*AF92)+(AF102*AF97)</f>
        <v>8.8308078259650674E-2</v>
      </c>
    </row>
    <row r="106" spans="1:32" ht="19" x14ac:dyDescent="0.25">
      <c r="A106" s="14" t="s">
        <v>157</v>
      </c>
      <c r="B106" s="1"/>
      <c r="C106" s="15" t="e">
        <f t="shared" ref="C106:X106" si="52">(C107/B107)-1</f>
        <v>#VALUE!</v>
      </c>
      <c r="D106" s="15" t="e">
        <f t="shared" si="52"/>
        <v>#VALUE!</v>
      </c>
      <c r="E106" s="15">
        <f t="shared" si="52"/>
        <v>4.9119398307740516</v>
      </c>
      <c r="F106" s="15">
        <f t="shared" si="52"/>
        <v>1.7333156639279088</v>
      </c>
      <c r="G106" s="15">
        <f t="shared" si="52"/>
        <v>0.40522457528508271</v>
      </c>
      <c r="H106" s="15">
        <f t="shared" si="52"/>
        <v>0.22967471259608874</v>
      </c>
      <c r="I106" s="15">
        <f t="shared" si="52"/>
        <v>0.8038293621844872</v>
      </c>
      <c r="J106" s="15">
        <f t="shared" si="52"/>
        <v>4.8375154769385809E-2</v>
      </c>
      <c r="K106" s="15">
        <f t="shared" si="52"/>
        <v>0.28790846182150531</v>
      </c>
      <c r="L106" s="15">
        <f t="shared" si="52"/>
        <v>-0.58412054744021014</v>
      </c>
      <c r="M106" s="15">
        <f t="shared" si="52"/>
        <v>3.65603324099723</v>
      </c>
      <c r="N106" s="15">
        <f t="shared" si="52"/>
        <v>0.32598933382832751</v>
      </c>
      <c r="O106" s="15">
        <f t="shared" si="52"/>
        <v>3.4402986413970105E-2</v>
      </c>
      <c r="P106" s="15">
        <f t="shared" si="52"/>
        <v>0.31311387520625167</v>
      </c>
      <c r="Q106" s="15">
        <f t="shared" si="52"/>
        <v>0.19278961450797749</v>
      </c>
      <c r="R106" s="15">
        <f t="shared" si="52"/>
        <v>0.88122069316176543</v>
      </c>
      <c r="S106" s="15">
        <f t="shared" si="52"/>
        <v>0.29777769926512154</v>
      </c>
      <c r="T106" s="15">
        <f t="shared" si="52"/>
        <v>0.27181436138403159</v>
      </c>
      <c r="U106" s="15">
        <f t="shared" si="52"/>
        <v>0.31573314306100597</v>
      </c>
      <c r="V106" s="15">
        <f t="shared" si="52"/>
        <v>0.10927331887201741</v>
      </c>
      <c r="W106" s="15">
        <f t="shared" si="52"/>
        <v>0.29137130285993651</v>
      </c>
      <c r="X106" s="15">
        <f t="shared" si="52"/>
        <v>0.194964982017793</v>
      </c>
      <c r="Y106" s="58">
        <v>9686000000</v>
      </c>
      <c r="Z106" s="58">
        <v>11560000000</v>
      </c>
      <c r="AA106" s="58">
        <v>13699000000</v>
      </c>
      <c r="AB106" s="58">
        <v>16535000000</v>
      </c>
      <c r="AC106" s="58">
        <v>15052000000</v>
      </c>
      <c r="AD106" s="36" t="s">
        <v>159</v>
      </c>
      <c r="AE106" s="37" t="s">
        <v>143</v>
      </c>
      <c r="AF106" s="38">
        <f>(SUM(Y4:AC4)/5)</f>
        <v>0.1162762753002176</v>
      </c>
    </row>
    <row r="107" spans="1:32" ht="19" x14ac:dyDescent="0.25">
      <c r="A107" s="57" t="s">
        <v>156</v>
      </c>
      <c r="B107" s="1" t="s">
        <v>91</v>
      </c>
      <c r="C107" s="1" t="s">
        <v>91</v>
      </c>
      <c r="D107" s="1">
        <v>3191000</v>
      </c>
      <c r="E107" s="1">
        <v>18865000</v>
      </c>
      <c r="F107" s="1">
        <v>51564000</v>
      </c>
      <c r="G107" s="1">
        <v>72459000</v>
      </c>
      <c r="H107" s="1">
        <v>89101000</v>
      </c>
      <c r="I107" s="1">
        <v>160723000</v>
      </c>
      <c r="J107" s="1">
        <v>168498000</v>
      </c>
      <c r="K107" s="1">
        <v>217010000</v>
      </c>
      <c r="L107" s="1">
        <v>90250000</v>
      </c>
      <c r="M107" s="1">
        <v>420207000</v>
      </c>
      <c r="N107" s="1">
        <v>557190000</v>
      </c>
      <c r="O107" s="1">
        <v>576359000</v>
      </c>
      <c r="P107" s="1">
        <v>756825000</v>
      </c>
      <c r="Q107" s="1">
        <v>902733000</v>
      </c>
      <c r="R107" s="1">
        <v>1698240000</v>
      </c>
      <c r="S107" s="1">
        <v>2203938000</v>
      </c>
      <c r="T107" s="1">
        <v>2803000000</v>
      </c>
      <c r="U107" s="1">
        <v>3688000000</v>
      </c>
      <c r="V107" s="1">
        <v>4091000000</v>
      </c>
      <c r="W107" s="1">
        <v>5283000000</v>
      </c>
      <c r="X107" s="1">
        <v>6313000000</v>
      </c>
      <c r="Y107" s="36"/>
      <c r="Z107" s="36"/>
      <c r="AA107" s="36"/>
      <c r="AB107" s="36"/>
      <c r="AC107" s="60">
        <f>AC106*(1+AF107)/(AF108-AF107)</f>
        <v>243701916471.4277</v>
      </c>
      <c r="AD107" s="40" t="s">
        <v>144</v>
      </c>
      <c r="AE107" s="41" t="s">
        <v>145</v>
      </c>
      <c r="AF107" s="42">
        <v>2.5000000000000001E-2</v>
      </c>
    </row>
    <row r="108" spans="1:32" ht="19" x14ac:dyDescent="0.25">
      <c r="Y108" s="39">
        <f>Y107+Y105</f>
        <v>3516946798.2716246</v>
      </c>
      <c r="Z108" s="39">
        <f>Z107+Z105</f>
        <v>3925884272.4036746</v>
      </c>
      <c r="AA108" s="39">
        <f>AA107+AA105</f>
        <v>4382371472.8584785</v>
      </c>
      <c r="AB108" s="39">
        <f>AB107+AB105</f>
        <v>4891937304.7043905</v>
      </c>
      <c r="AC108" s="60">
        <f>AC107+AC106</f>
        <v>258753916471.4277</v>
      </c>
      <c r="AD108" s="40" t="s">
        <v>141</v>
      </c>
      <c r="AE108" s="43" t="s">
        <v>146</v>
      </c>
      <c r="AF108" s="44">
        <f>AF105</f>
        <v>8.8308078259650674E-2</v>
      </c>
    </row>
    <row r="109" spans="1:32" ht="19" x14ac:dyDescent="0.25">
      <c r="Y109" s="69" t="s">
        <v>147</v>
      </c>
      <c r="Z109" s="70"/>
    </row>
    <row r="110" spans="1:32" ht="20" x14ac:dyDescent="0.25">
      <c r="Y110" s="45" t="s">
        <v>148</v>
      </c>
      <c r="Z110" s="46">
        <f>NPV(AF108,Y108,Z108,AA108,AB108,AC108)</f>
        <v>182916763070.05338</v>
      </c>
    </row>
    <row r="111" spans="1:32" ht="20" x14ac:dyDescent="0.25">
      <c r="Y111" s="45" t="s">
        <v>149</v>
      </c>
      <c r="Z111" s="46">
        <f>W40</f>
        <v>10537000000</v>
      </c>
    </row>
    <row r="112" spans="1:32" ht="20" x14ac:dyDescent="0.25">
      <c r="Y112" s="45" t="s">
        <v>137</v>
      </c>
      <c r="Z112" s="46">
        <f>AF99</f>
        <v>14088000000</v>
      </c>
    </row>
    <row r="113" spans="25:26" ht="20" x14ac:dyDescent="0.25">
      <c r="Y113" s="45" t="s">
        <v>150</v>
      </c>
      <c r="Z113" s="46">
        <f>Z110+Z111-Z112</f>
        <v>179365763070.05338</v>
      </c>
    </row>
    <row r="114" spans="25:26" ht="20" x14ac:dyDescent="0.25">
      <c r="Y114" s="45" t="s">
        <v>164</v>
      </c>
      <c r="Z114" s="47">
        <f>X34*(1+(5*AD16))</f>
        <v>1312865970.7960498</v>
      </c>
    </row>
    <row r="115" spans="25:26" ht="20" x14ac:dyDescent="0.25">
      <c r="Y115" s="48" t="s">
        <v>151</v>
      </c>
      <c r="Z115" s="56">
        <f>Z113/Z114</f>
        <v>136.62153415500276</v>
      </c>
    </row>
    <row r="116" spans="25:26" ht="20" x14ac:dyDescent="0.25">
      <c r="Y116" s="45" t="s">
        <v>152</v>
      </c>
      <c r="Z116" s="55" cm="1">
        <f t="array" ref="Z116">_FV(A1,"Price")</f>
        <v>210</v>
      </c>
    </row>
    <row r="117" spans="25:26" ht="20" x14ac:dyDescent="0.25">
      <c r="Y117" s="49" t="s">
        <v>153</v>
      </c>
      <c r="Z117" s="50">
        <f>Z115/Z116-1</f>
        <v>-0.34942126592855827</v>
      </c>
    </row>
    <row r="118" spans="25:26" ht="20" x14ac:dyDescent="0.25">
      <c r="Y118" s="49" t="s">
        <v>154</v>
      </c>
      <c r="Z118" s="51" t="str">
        <f>IF(Z115&gt;Z116,"BUY","SELL")</f>
        <v>SELL</v>
      </c>
    </row>
  </sheetData>
  <mergeCells count="6">
    <mergeCell ref="Y109:Z109"/>
    <mergeCell ref="AE83:AF83"/>
    <mergeCell ref="AE84:AF84"/>
    <mergeCell ref="AE93:AF93"/>
    <mergeCell ref="AE98:AF98"/>
    <mergeCell ref="AE104:AF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Y1" r:id="rId46" display="https://finbox.com/NYSE:CRM/explorer/revenue_proj" xr:uid="{166CE2B9-7B8F-CF4C-8962-AEDC7AE6E743}"/>
    <hyperlink ref="AD106" r:id="rId47" xr:uid="{AB2A6B9C-EAD2-1946-A731-EC72720B1440}"/>
    <hyperlink ref="X36" r:id="rId48" tooltip="https://www.sec.gov/Archives/edgar/data/1108524/000110852423000011/0001108524-23-000011-index.htm" xr:uid="{7171CE30-2EC4-944C-816F-5FD752358282}"/>
    <hyperlink ref="X74" r:id="rId49" tooltip="https://www.sec.gov/Archives/edgar/data/1108524/000110852423000011/0001108524-23-000011-index.htm" xr:uid="{6F40A65F-9810-B249-AEC9-426B948D6569}"/>
  </hyperlinks>
  <pageMargins left="0.7" right="0.7" top="0.75" bottom="0.75" header="0.3" footer="0.3"/>
  <drawing r:id="rId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2023-06-23T18:42:22Z</dcterms:modified>
</cp:coreProperties>
</file>