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7A98A88B-D346-8F48-9A0B-78AA12A626A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100" i="1" a="1"/>
  <c r="AH100" i="1" s="1"/>
  <c r="AH94" i="1" a="1"/>
  <c r="AH94" i="1" s="1"/>
  <c r="AH96" i="1" s="1"/>
  <c r="AB114" i="1"/>
  <c r="AF19" i="1"/>
  <c r="AB106" i="1"/>
  <c r="AC106" i="1" s="1"/>
  <c r="AD106" i="1" s="1"/>
  <c r="AE106" i="1" s="1"/>
  <c r="AA106" i="1"/>
  <c r="AH86" i="1"/>
  <c r="AH87" i="1" s="1"/>
  <c r="AH91" i="1" s="1"/>
  <c r="AB111" i="1"/>
  <c r="AA108" i="1"/>
  <c r="AH89" i="1"/>
  <c r="AH88" i="1"/>
  <c r="AH90" i="1" s="1"/>
  <c r="AH85" i="1"/>
  <c r="AH84" i="1"/>
  <c r="AG16" i="1" l="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I4" i="1"/>
  <c r="AH4" i="1"/>
  <c r="AG4" i="1"/>
  <c r="AF4" i="1"/>
  <c r="AE4" i="1"/>
  <c r="AD4" i="1"/>
  <c r="AC4" i="1"/>
  <c r="AB4" i="1"/>
  <c r="AA4" i="1"/>
  <c r="W105" i="1"/>
  <c r="X105" i="1"/>
  <c r="Y105" i="1"/>
  <c r="Z105" i="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5" i="1"/>
  <c r="U105" i="1"/>
  <c r="T105" i="1"/>
  <c r="S105" i="1"/>
  <c r="R105" i="1"/>
  <c r="Q105" i="1"/>
  <c r="P105" i="1"/>
  <c r="O105" i="1"/>
  <c r="N105" i="1"/>
  <c r="M105" i="1"/>
  <c r="L105" i="1"/>
  <c r="K105" i="1"/>
  <c r="J105" i="1"/>
  <c r="I105" i="1"/>
  <c r="H105" i="1"/>
  <c r="G105" i="1"/>
  <c r="F105" i="1"/>
  <c r="E105" i="1"/>
  <c r="D105" i="1"/>
  <c r="C105"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<sst xmlns="http://schemas.openxmlformats.org/spreadsheetml/2006/main" count="732" uniqueCount="160">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</sst>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3" xfId="0" applyNumberFormat="1" applyFont="1" applyFill="1" applyBorder="1" applyAlignment="1">
      <alignment horizontal="center"/>
    </xf>
    <xf numFmtId="9" fontId="1" fillId="4" borderId="14" xfId="0" applyNumberFormat="1" applyFont="1" applyFill="1" applyBorder="1" applyAlignment="1">
      <alignment horizontal="center"/>
    </xf>
    <xf numFmtId="171" fontId="12"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210792261158148E-2"/>
          <c:y val="0.14319546657974944"/>
          <c:w val="0.87400497266664334"/>
          <c:h val="0.6765278849947677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522626093253235"/>
          <c:y val="0.90330937390996058"/>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39687</xdr:colOff>
      <xdr:row>108</xdr:row>
      <xdr:rowOff>25399</xdr:rowOff>
    </xdr:from>
    <xdr:to>
      <xdr:col>33</xdr:col>
      <xdr:colOff>1587499</xdr:colOff>
      <xdr:row>127</xdr:row>
      <xdr:rowOff>15874</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1.2902</v>
    <v>0.36</v>
    <v>5.4870000000000006E-4</v>
    <v>-0.1</v>
    <v>-1.5230000000000002E-4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19800</v>
    <v>New York Stock Exchange</v>
    <v>XNYS</v>
    <v>XNYS</v>
    <v>50 Hudson Yards, NEW YORK, NY, 10001 US</v>
    <v>659.06</v>
    <v>Investment Banking &amp; Investment Services</v>
    <v>Stock</v>
    <v>45022.991158888282</v>
    <v>0</v>
    <v>653.98500000000001</v>
    <v>98615160000</v>
    <v>BLACKROCK, INC.</v>
    <v>BLACKROCK, INC.</v>
    <v>656.6</v>
    <v>19.322199999999999</v>
    <v>656.04</v>
    <v>656.4</v>
    <v>656.3</v>
    <v>150236400</v>
    <v>BLK</v>
    <v>BLACKROCK, INC. (XNYS:BLK)</v>
    <v>441769</v>
    <v>726414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X81" activePane="bottomRight" state="frozen"/>
      <selection pane="topRight"/>
      <selection pane="bottomLeft"/>
      <selection pane="bottomRight" activeCell="AC95" sqref="AC95"/>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18191000000</v>
      </c>
      <c r="AB3" s="28">
        <v>20100000000</v>
      </c>
      <c r="AC3" s="28">
        <v>21867000000</v>
      </c>
      <c r="AD3" s="28">
        <v>21249000000</v>
      </c>
      <c r="AE3" s="28">
        <v>22705000000</v>
      </c>
      <c r="AF3" s="18" t="s">
        <v>109</v>
      </c>
      <c r="AG3" s="19" t="s">
        <v>110</v>
      </c>
      <c r="AH3" s="19" t="s">
        <v>111</v>
      </c>
      <c r="AI3" s="19" t="s">
        <v>112</v>
      </c>
    </row>
    <row r="4" spans="1:42" ht="19" x14ac:dyDescent="0.25">
      <c r="A4" s="14" t="s">
        <v>94</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1.7792200525933E-2</v>
      </c>
      <c r="AB4" s="16">
        <f t="shared" si="0"/>
        <v>0.10494200428783462</v>
      </c>
      <c r="AC4" s="16">
        <f t="shared" si="0"/>
        <v>8.7910447761194055E-2</v>
      </c>
      <c r="AD4" s="16">
        <f t="shared" si="0"/>
        <v>-2.8261764302373482E-2</v>
      </c>
      <c r="AE4" s="16">
        <f t="shared" si="0"/>
        <v>6.8520871570426856E-2</v>
      </c>
      <c r="AF4" s="17">
        <f>(Z4+Y4+X4)/3</f>
        <v>7.7556769668074121E-2</v>
      </c>
      <c r="AG4" s="17">
        <f>(Z20+Y20+X20)/3</f>
        <v>4.2450239966828653E-2</v>
      </c>
      <c r="AH4" s="17">
        <f>(Z29+Y29+X29)/3</f>
        <v>5.8609029520188614E-2</v>
      </c>
      <c r="AI4" s="17">
        <f>(Z105+Y105+X105)/3</f>
        <v>0.20243659748138085</v>
      </c>
      <c r="AJ4" s="16"/>
      <c r="AK4" s="16"/>
      <c r="AL4" s="16"/>
      <c r="AM4" s="16"/>
      <c r="AN4" s="16"/>
      <c r="AO4" s="16"/>
      <c r="AP4" s="16"/>
    </row>
    <row r="5" spans="1:42" ht="19" x14ac:dyDescent="0.25">
      <c r="A5" s="5" t="s">
        <v>2</v>
      </c>
      <c r="B5" s="1" t="s">
        <v>92</v>
      </c>
      <c r="C5" s="1" t="s">
        <v>92</v>
      </c>
      <c r="D5" s="1" t="s">
        <v>92</v>
      </c>
      <c r="E5" s="1" t="s">
        <v>92</v>
      </c>
      <c r="F5" s="1" t="s">
        <v>92</v>
      </c>
      <c r="G5" s="1" t="s">
        <v>92</v>
      </c>
      <c r="H5" s="1" t="s">
        <v>92</v>
      </c>
      <c r="I5" s="1" t="s">
        <v>92</v>
      </c>
      <c r="J5" s="1" t="s">
        <v>92</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92</v>
      </c>
      <c r="C6" s="10" t="s">
        <v>92</v>
      </c>
      <c r="D6" s="10" t="s">
        <v>92</v>
      </c>
      <c r="E6" s="10" t="s">
        <v>92</v>
      </c>
      <c r="F6" s="10" t="s">
        <v>92</v>
      </c>
      <c r="G6" s="10" t="s">
        <v>92</v>
      </c>
      <c r="H6" s="10" t="s">
        <v>92</v>
      </c>
      <c r="I6" s="10" t="s">
        <v>92</v>
      </c>
      <c r="J6" s="10" t="s">
        <v>92</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113</v>
      </c>
      <c r="AG6" s="19" t="s">
        <v>114</v>
      </c>
      <c r="AH6" s="19" t="s">
        <v>115</v>
      </c>
      <c r="AI6" s="19" t="s">
        <v>116</v>
      </c>
    </row>
    <row r="7" spans="1:42" ht="19" x14ac:dyDescent="0.25">
      <c r="A7" s="5" t="s">
        <v>4</v>
      </c>
      <c r="B7" s="2" t="s">
        <v>92</v>
      </c>
      <c r="C7" s="2" t="s">
        <v>92</v>
      </c>
      <c r="D7" s="2" t="s">
        <v>92</v>
      </c>
      <c r="E7" s="2" t="s">
        <v>92</v>
      </c>
      <c r="F7" s="2" t="s">
        <v>92</v>
      </c>
      <c r="G7" s="2" t="s">
        <v>92</v>
      </c>
      <c r="H7" s="2" t="s">
        <v>92</v>
      </c>
      <c r="I7" s="2" t="s">
        <v>92</v>
      </c>
      <c r="J7" s="2" t="s">
        <v>92</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Z106/Z3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96</v>
      </c>
      <c r="AG9" s="19" t="s">
        <v>97</v>
      </c>
      <c r="AH9" s="19" t="s">
        <v>98</v>
      </c>
      <c r="AI9" s="19" t="s">
        <v>99</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117</v>
      </c>
      <c r="AG12" s="19" t="s">
        <v>118</v>
      </c>
      <c r="AH12" s="19" t="s">
        <v>119</v>
      </c>
      <c r="AI12" s="19" t="s">
        <v>120</v>
      </c>
    </row>
    <row r="13" spans="1:42" ht="19" x14ac:dyDescent="0.25">
      <c r="A13" s="14" t="s">
        <v>100</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121</v>
      </c>
      <c r="AG15" s="19" t="s">
        <v>122</v>
      </c>
      <c r="AH15" s="19" t="s">
        <v>123</v>
      </c>
      <c r="AI15" s="19" t="s">
        <v>124</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30">
        <f>AH100/Z3</f>
        <v>5.5175493761539753</v>
      </c>
      <c r="AH16" s="30">
        <f>AH100/Z28</f>
        <v>19.04502896871379</v>
      </c>
      <c r="AI16" s="31">
        <f>AH100/Z106</f>
        <v>22.29598914763735</v>
      </c>
    </row>
    <row r="17" spans="1:47" ht="19" x14ac:dyDescent="0.25">
      <c r="A17" s="5" t="s">
        <v>12</v>
      </c>
      <c r="B17" s="1" t="s">
        <v>92</v>
      </c>
      <c r="C17" s="1" t="s">
        <v>92</v>
      </c>
      <c r="D17" s="1" t="s">
        <v>92</v>
      </c>
      <c r="E17" s="1" t="s">
        <v>92</v>
      </c>
      <c r="F17" s="1" t="s">
        <v>92</v>
      </c>
      <c r="G17" s="1" t="s">
        <v>92</v>
      </c>
      <c r="H17" s="1" t="s">
        <v>92</v>
      </c>
      <c r="I17" s="1" t="s">
        <v>92</v>
      </c>
      <c r="J17" s="1" t="s">
        <v>92</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159</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F19" s="48">
        <f>Z40-Z56-Z61</f>
        <v>5557000000</v>
      </c>
    </row>
    <row r="20" spans="1:47" ht="19" customHeight="1" x14ac:dyDescent="0.25">
      <c r="A20" s="14" t="s">
        <v>101</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H20" s="15"/>
      <c r="AI20" s="15"/>
      <c r="AJ20" s="15"/>
      <c r="AK20" s="15"/>
      <c r="AL20" s="15"/>
      <c r="AT20" s="15"/>
      <c r="AU20" s="15"/>
    </row>
    <row r="21" spans="1:47" ht="19"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19" x14ac:dyDescent="0.25">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row>
    <row r="29" spans="1:47" ht="20" customHeight="1" x14ac:dyDescent="0.25">
      <c r="A29" s="14" t="s">
        <v>102</v>
      </c>
      <c r="B29" s="1"/>
      <c r="C29" s="15">
        <f>(C28/B28)-1</f>
        <v>0.66901685393258425</v>
      </c>
      <c r="D29" s="15">
        <f>(D28/C28)-1</f>
        <v>0.47030311190400065</v>
      </c>
      <c r="E29" s="15">
        <f>(E28/D28)-1</f>
        <v>0.22977072148899391</v>
      </c>
      <c r="F29" s="15">
        <f t="shared" ref="F29:V29" si="8">(F28/E28)-1</f>
        <v>0.24028705996239541</v>
      </c>
      <c r="G29" s="15">
        <f t="shared" si="8"/>
        <v>0.16625265480416362</v>
      </c>
      <c r="H29" s="15">
        <f t="shared" si="8"/>
        <v>-7.8898598473636117E-2</v>
      </c>
      <c r="I29" s="15">
        <f t="shared" si="8"/>
        <v>0.63410902536659663</v>
      </c>
      <c r="J29" s="15">
        <f t="shared" si="8"/>
        <v>0.37918326863553187</v>
      </c>
      <c r="K29" s="15">
        <f t="shared" si="8"/>
        <v>2.0851389638005964</v>
      </c>
      <c r="L29" s="15">
        <f t="shared" si="8"/>
        <v>-0.21026613830189134</v>
      </c>
      <c r="M29" s="15">
        <f t="shared" si="8"/>
        <v>0.11323155216284997</v>
      </c>
      <c r="N29" s="15">
        <f t="shared" si="8"/>
        <v>1.3577142857142857</v>
      </c>
      <c r="O29" s="15">
        <f t="shared" si="8"/>
        <v>0.13281628696073677</v>
      </c>
      <c r="P29" s="15">
        <f t="shared" si="8"/>
        <v>5.1775780915703784E-2</v>
      </c>
      <c r="Q29" s="15">
        <f t="shared" si="8"/>
        <v>0.19283970707892606</v>
      </c>
      <c r="R29" s="15">
        <f t="shared" si="8"/>
        <v>0.12346521145975453</v>
      </c>
      <c r="S29" s="15">
        <f t="shared" si="8"/>
        <v>1.5482695810564717E-2</v>
      </c>
      <c r="T29" s="15">
        <f t="shared" si="8"/>
        <v>-5.1718983557548559E-2</v>
      </c>
      <c r="U29" s="15">
        <f t="shared" si="8"/>
        <v>0.56683480453972268</v>
      </c>
      <c r="V29" s="15">
        <f t="shared" si="8"/>
        <v>-0.13380281690140849</v>
      </c>
      <c r="W29" s="15">
        <f t="shared" ref="W29" si="9">(W28/V28)-1</f>
        <v>3.9721254355400637E-2</v>
      </c>
      <c r="X29" s="15">
        <f t="shared" ref="X29" si="10">(X28/W28)-1</f>
        <v>0.10187667560321723</v>
      </c>
      <c r="Y29" s="15">
        <f t="shared" ref="Y29" si="11">(Y28/X28)-1</f>
        <v>0.19647201946472026</v>
      </c>
      <c r="Z29" s="15">
        <f t="shared" ref="Z29" si="12">(Z28/Y28)-1</f>
        <v>-0.12252160650737165</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103</v>
      </c>
      <c r="B35" s="1"/>
      <c r="C35" s="22">
        <f>(C34-B34)/B34</f>
        <v>6.6775550500264277E-2</v>
      </c>
      <c r="D35" s="22">
        <f t="shared" ref="D35:V35" si="13">(D34-C34)/C34</f>
        <v>0.1278493818775534</v>
      </c>
      <c r="E35" s="22">
        <f t="shared" si="13"/>
        <v>5.194121810742836E-3</v>
      </c>
      <c r="F35" s="22">
        <f t="shared" si="13"/>
        <v>5.8735765511238386E-3</v>
      </c>
      <c r="G35" s="22">
        <f t="shared" si="13"/>
        <v>8.4648714724368454E-3</v>
      </c>
      <c r="H35" s="22">
        <f t="shared" si="13"/>
        <v>1.5199581028760725E-3</v>
      </c>
      <c r="I35" s="22">
        <f t="shared" si="13"/>
        <v>1.3867032154241829E-2</v>
      </c>
      <c r="J35" s="22">
        <f t="shared" si="13"/>
        <v>0.24647788074460963</v>
      </c>
      <c r="K35" s="22">
        <f t="shared" si="13"/>
        <v>0.58458918966217133</v>
      </c>
      <c r="L35" s="22">
        <f t="shared" si="13"/>
        <v>6.8712557861638698E-3</v>
      </c>
      <c r="M35" s="22">
        <f t="shared" si="13"/>
        <v>4.8760881739784497E-2</v>
      </c>
      <c r="N35" s="22">
        <f t="shared" si="13"/>
        <v>0.38148870965629272</v>
      </c>
      <c r="O35" s="22">
        <f t="shared" si="13"/>
        <v>-2.8935480663610368E-2</v>
      </c>
      <c r="P35" s="22">
        <f t="shared" si="13"/>
        <v>-4.8626045144837912E-2</v>
      </c>
      <c r="Q35" s="22">
        <f t="shared" si="13"/>
        <v>-2.3530118039568417E-2</v>
      </c>
      <c r="R35" s="22">
        <f t="shared" si="13"/>
        <v>-1.5628246906834859E-2</v>
      </c>
      <c r="S35" s="22">
        <f t="shared" si="13"/>
        <v>-1.2118886091979112E-2</v>
      </c>
      <c r="T35" s="22">
        <f t="shared" si="13"/>
        <v>-1.4545905028977084E-2</v>
      </c>
      <c r="U35" s="22">
        <f t="shared" si="13"/>
        <v>-1.308533584561946E-2</v>
      </c>
      <c r="V35" s="22">
        <f t="shared" si="13"/>
        <v>-1.4910389294403893E-2</v>
      </c>
      <c r="W35" s="22">
        <f t="shared" ref="W35" si="14">(W34-V34)/V34</f>
        <v>-2.7719797151607214E-2</v>
      </c>
      <c r="X35" s="22">
        <f t="shared" ref="X35" si="15">(X34-W34)/W34</f>
        <v>-1.6632614957495177E-2</v>
      </c>
      <c r="Y35" s="22">
        <f t="shared" ref="Y35" si="16">(Y34-X34)/X34</f>
        <v>0</v>
      </c>
      <c r="Z35" s="22">
        <f t="shared" ref="Z35" si="17">(Z34-Y34)/Y34</f>
        <v>-1.5761901489107034E-2</v>
      </c>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38" ht="19" x14ac:dyDescent="0.25">
      <c r="A38" s="5" t="s">
        <v>30</v>
      </c>
      <c r="B38" s="1" t="s">
        <v>92</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92</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92</v>
      </c>
      <c r="C46" s="1">
        <v>194257000</v>
      </c>
      <c r="D46" s="1" t="s">
        <v>92</v>
      </c>
      <c r="E46" s="1" t="s">
        <v>92</v>
      </c>
      <c r="F46" s="1" t="s">
        <v>92</v>
      </c>
      <c r="G46" s="1" t="s">
        <v>92</v>
      </c>
      <c r="H46" s="1" t="s">
        <v>92</v>
      </c>
      <c r="I46" s="1" t="s">
        <v>92</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92</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92</v>
      </c>
      <c r="C49" s="1" t="s">
        <v>92</v>
      </c>
      <c r="D49" s="1" t="s">
        <v>92</v>
      </c>
      <c r="E49" s="1" t="s">
        <v>92</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92</v>
      </c>
      <c r="Z49" s="1" t="s">
        <v>92</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row>
    <row r="51" spans="1:26" ht="19" x14ac:dyDescent="0.25">
      <c r="A51" s="5" t="s">
        <v>43</v>
      </c>
      <c r="B51" s="1" t="s">
        <v>92</v>
      </c>
      <c r="C51" s="1" t="s">
        <v>92</v>
      </c>
      <c r="D51" s="1" t="s">
        <v>92</v>
      </c>
      <c r="E51" s="1" t="s">
        <v>92</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92</v>
      </c>
      <c r="Z51" s="1" t="s">
        <v>92</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92</v>
      </c>
      <c r="C55" s="1">
        <v>705000</v>
      </c>
      <c r="D55" s="1" t="s">
        <v>92</v>
      </c>
      <c r="E55" s="1" t="s">
        <v>92</v>
      </c>
      <c r="F55" s="1" t="s">
        <v>92</v>
      </c>
      <c r="G55" s="1" t="s">
        <v>92</v>
      </c>
      <c r="H55" s="1" t="s">
        <v>92</v>
      </c>
      <c r="I55" s="1" t="s">
        <v>92</v>
      </c>
      <c r="J55" s="1" t="s">
        <v>92</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92</v>
      </c>
      <c r="Z55" s="1" t="s">
        <v>92</v>
      </c>
    </row>
    <row r="56" spans="1:26" ht="19" x14ac:dyDescent="0.25">
      <c r="A56" s="5" t="s">
        <v>48</v>
      </c>
      <c r="B56" s="1">
        <v>18800000</v>
      </c>
      <c r="C56" s="1">
        <v>28200000</v>
      </c>
      <c r="D56" s="1" t="s">
        <v>92</v>
      </c>
      <c r="E56" s="1" t="s">
        <v>92</v>
      </c>
      <c r="F56" s="1" t="s">
        <v>92</v>
      </c>
      <c r="G56" s="1" t="s">
        <v>92</v>
      </c>
      <c r="H56" s="1" t="s">
        <v>92</v>
      </c>
      <c r="I56" s="1" t="s">
        <v>92</v>
      </c>
      <c r="J56" s="1" t="s">
        <v>92</v>
      </c>
      <c r="K56" s="1">
        <v>300000000</v>
      </c>
      <c r="L56" s="1">
        <v>200000000</v>
      </c>
      <c r="M56" s="1">
        <v>2234000000</v>
      </c>
      <c r="N56" s="1">
        <v>100000000</v>
      </c>
      <c r="O56" s="1">
        <v>100000000</v>
      </c>
      <c r="P56" s="1">
        <v>100000000</v>
      </c>
      <c r="Q56" s="1" t="s">
        <v>92</v>
      </c>
      <c r="R56" s="1" t="s">
        <v>92</v>
      </c>
      <c r="S56" s="1" t="s">
        <v>92</v>
      </c>
      <c r="T56" s="1" t="s">
        <v>92</v>
      </c>
      <c r="U56" s="1" t="s">
        <v>92</v>
      </c>
      <c r="V56" s="1" t="s">
        <v>92</v>
      </c>
      <c r="W56" s="1" t="s">
        <v>92</v>
      </c>
      <c r="X56" s="1" t="s">
        <v>92</v>
      </c>
      <c r="Y56" s="1">
        <v>7488000000</v>
      </c>
      <c r="Z56" s="1">
        <v>1835000000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3673000000</v>
      </c>
      <c r="Y58" s="1" t="s">
        <v>92</v>
      </c>
      <c r="Z58" s="1" t="s">
        <v>92</v>
      </c>
    </row>
    <row r="59" spans="1:26" ht="19" x14ac:dyDescent="0.25">
      <c r="A59" s="5" t="s">
        <v>51</v>
      </c>
      <c r="B59" s="1" t="s">
        <v>92</v>
      </c>
      <c r="C59" s="1" t="s">
        <v>92</v>
      </c>
      <c r="D59" s="1" t="s">
        <v>92</v>
      </c>
      <c r="E59" s="1" t="s">
        <v>92</v>
      </c>
      <c r="F59" s="1" t="s">
        <v>92</v>
      </c>
      <c r="G59" s="1" t="s">
        <v>92</v>
      </c>
      <c r="H59" s="1" t="s">
        <v>92</v>
      </c>
      <c r="I59" s="1" t="s">
        <v>92</v>
      </c>
      <c r="J59" s="1">
        <v>9435000000</v>
      </c>
      <c r="K59" s="1">
        <v>1200937000</v>
      </c>
      <c r="L59" s="1">
        <v>929000000</v>
      </c>
      <c r="M59" s="1">
        <v>1921000000</v>
      </c>
      <c r="N59" s="1">
        <v>1577000000</v>
      </c>
      <c r="O59" s="1">
        <v>1405000000</v>
      </c>
      <c r="P59" s="1">
        <v>14000000</v>
      </c>
      <c r="Q59" s="1" t="s">
        <v>92</v>
      </c>
      <c r="R59" s="1" t="s">
        <v>92</v>
      </c>
      <c r="S59" s="1" t="s">
        <v>92</v>
      </c>
      <c r="T59" s="1" t="s">
        <v>92</v>
      </c>
      <c r="U59" s="1" t="s">
        <v>92</v>
      </c>
      <c r="V59" s="1" t="s">
        <v>92</v>
      </c>
      <c r="W59" s="1" t="s">
        <v>92</v>
      </c>
      <c r="X59" s="1">
        <v>-3673000000</v>
      </c>
      <c r="Y59" s="1" t="s">
        <v>92</v>
      </c>
      <c r="Z59" s="1" t="s">
        <v>92</v>
      </c>
    </row>
    <row r="60" spans="1:26" ht="19" x14ac:dyDescent="0.25">
      <c r="A60" s="6" t="s">
        <v>52</v>
      </c>
      <c r="B60" s="10">
        <v>18800000</v>
      </c>
      <c r="C60" s="10">
        <v>28905000</v>
      </c>
      <c r="D60" s="10" t="s">
        <v>92</v>
      </c>
      <c r="E60" s="10" t="s">
        <v>92</v>
      </c>
      <c r="F60" s="10" t="s">
        <v>92</v>
      </c>
      <c r="G60" s="10" t="s">
        <v>92</v>
      </c>
      <c r="H60" s="10" t="s">
        <v>92</v>
      </c>
      <c r="I60" s="10" t="s">
        <v>92</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92</v>
      </c>
      <c r="E61" s="1" t="s">
        <v>92</v>
      </c>
      <c r="F61" s="1" t="s">
        <v>92</v>
      </c>
      <c r="G61" s="1" t="s">
        <v>92</v>
      </c>
      <c r="H61" s="1" t="s">
        <v>92</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92</v>
      </c>
      <c r="Z61" s="1">
        <v>7490000000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row>
    <row r="63" spans="1:26" ht="19" x14ac:dyDescent="0.25">
      <c r="A63" s="5" t="s">
        <v>54</v>
      </c>
      <c r="B63" s="1" t="s">
        <v>92</v>
      </c>
      <c r="C63" s="1" t="s">
        <v>92</v>
      </c>
      <c r="D63" s="1" t="s">
        <v>92</v>
      </c>
      <c r="E63" s="1" t="s">
        <v>92</v>
      </c>
      <c r="F63" s="1" t="s">
        <v>92</v>
      </c>
      <c r="G63" s="1" t="s">
        <v>92</v>
      </c>
      <c r="H63" s="1" t="s">
        <v>92</v>
      </c>
      <c r="I63" s="1" t="s">
        <v>92</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92</v>
      </c>
      <c r="C64" s="1" t="s">
        <v>92</v>
      </c>
      <c r="D64" s="1" t="s">
        <v>92</v>
      </c>
      <c r="E64" s="1" t="s">
        <v>92</v>
      </c>
      <c r="F64" s="1" t="s">
        <v>92</v>
      </c>
      <c r="G64" s="1" t="s">
        <v>92</v>
      </c>
      <c r="H64" s="1" t="s">
        <v>92</v>
      </c>
      <c r="I64" s="1" t="s">
        <v>92</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92</v>
      </c>
      <c r="E65" s="1" t="s">
        <v>92</v>
      </c>
      <c r="F65" s="1" t="s">
        <v>92</v>
      </c>
      <c r="G65" s="1" t="s">
        <v>92</v>
      </c>
      <c r="H65" s="1" t="s">
        <v>92</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92</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92</v>
      </c>
      <c r="C70" s="1" t="s">
        <v>92</v>
      </c>
      <c r="D70" s="1" t="s">
        <v>92</v>
      </c>
      <c r="E70" s="1" t="s">
        <v>92</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92</v>
      </c>
      <c r="C78" s="1" t="s">
        <v>92</v>
      </c>
      <c r="D78" s="1" t="s">
        <v>92</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92</v>
      </c>
      <c r="C79" s="1" t="s">
        <v>92</v>
      </c>
      <c r="D79" s="1" t="s">
        <v>92</v>
      </c>
      <c r="E79" s="1" t="s">
        <v>92</v>
      </c>
      <c r="F79" s="1" t="s">
        <v>92</v>
      </c>
      <c r="G79" s="1" t="s">
        <v>92</v>
      </c>
      <c r="H79" s="1" t="s">
        <v>92</v>
      </c>
      <c r="I79" s="1" t="s">
        <v>92</v>
      </c>
      <c r="J79" s="1" t="s">
        <v>92</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104</v>
      </c>
      <c r="B80" s="15" t="e">
        <f t="shared" ref="B80:Z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f t="shared" si="18"/>
        <v>3.8858494567724639E-2</v>
      </c>
      <c r="L80" s="15">
        <f t="shared" si="18"/>
        <v>5.4897314375987362E-2</v>
      </c>
      <c r="M80" s="15">
        <f t="shared" si="18"/>
        <v>6.7446808510638293E-2</v>
      </c>
      <c r="N80" s="15">
        <f t="shared" si="18"/>
        <v>5.1672085462145842E-2</v>
      </c>
      <c r="O80" s="15">
        <f t="shared" si="18"/>
        <v>5.4729655324303489E-2</v>
      </c>
      <c r="P80" s="15">
        <f t="shared" si="18"/>
        <v>4.8302452607904035E-2</v>
      </c>
      <c r="Q80" s="15">
        <f t="shared" si="18"/>
        <v>4.4007858546168961E-2</v>
      </c>
      <c r="R80" s="15">
        <f t="shared" si="18"/>
        <v>4.0880786932587308E-2</v>
      </c>
      <c r="S80" s="15">
        <f t="shared" si="18"/>
        <v>4.5083764582054209E-2</v>
      </c>
      <c r="T80" s="15">
        <f t="shared" si="18"/>
        <v>4.6705513222770056E-2</v>
      </c>
      <c r="U80" s="15">
        <f t="shared" si="18"/>
        <v>4.3391241694019693E-2</v>
      </c>
      <c r="V80" s="15">
        <f t="shared" si="18"/>
        <v>3.9723904775320465E-2</v>
      </c>
      <c r="W80" s="15">
        <f t="shared" si="18"/>
        <v>3.8998555609051515E-2</v>
      </c>
      <c r="X80" s="15">
        <f t="shared" si="18"/>
        <v>3.8383215057081151E-2</v>
      </c>
      <c r="Y80" s="15">
        <f t="shared" si="18"/>
        <v>3.7885826365231752E-2</v>
      </c>
      <c r="Z80" s="15">
        <f t="shared" si="18"/>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62" t="s">
        <v>108</v>
      </c>
      <c r="AH82" s="63"/>
    </row>
    <row r="83" spans="1:46" ht="19"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66" t="s">
        <v>125</v>
      </c>
      <c r="AH83" s="67"/>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92</v>
      </c>
      <c r="L84" s="1" t="s">
        <v>92</v>
      </c>
      <c r="M84" s="1" t="s">
        <v>92</v>
      </c>
      <c r="N84" s="1" t="s">
        <v>92</v>
      </c>
      <c r="O84" s="1" t="s">
        <v>92</v>
      </c>
      <c r="P84" s="1">
        <v>114000000</v>
      </c>
      <c r="Q84" s="1">
        <v>7000000</v>
      </c>
      <c r="R84" s="1">
        <v>-69000000</v>
      </c>
      <c r="S84" s="1">
        <v>14000000</v>
      </c>
      <c r="T84" s="1">
        <v>51000000</v>
      </c>
      <c r="U84" s="1">
        <v>308000000</v>
      </c>
      <c r="V84" s="1">
        <v>43000000</v>
      </c>
      <c r="W84" s="1" t="s">
        <v>92</v>
      </c>
      <c r="X84" s="1" t="s">
        <v>92</v>
      </c>
      <c r="Y84" s="1">
        <v>342000000</v>
      </c>
      <c r="Z84" s="1" t="s">
        <v>92</v>
      </c>
      <c r="AG84" s="50" t="s">
        <v>126</v>
      </c>
      <c r="AH84" s="51">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92</v>
      </c>
      <c r="AG85" s="50" t="s">
        <v>127</v>
      </c>
      <c r="AH85" s="51">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92</v>
      </c>
      <c r="AG86" s="50" t="s">
        <v>128</v>
      </c>
      <c r="AH86" s="51">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52" t="s">
        <v>129</v>
      </c>
      <c r="AH87" s="53">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50" t="s">
        <v>106</v>
      </c>
      <c r="AH88" s="51">
        <f>Z27</f>
        <v>1296000000</v>
      </c>
    </row>
    <row r="89" spans="1:46" ht="20" customHeight="1" x14ac:dyDescent="0.25">
      <c r="A89" s="14" t="s">
        <v>105</v>
      </c>
      <c r="B89" s="15">
        <f t="shared" ref="B89:Z89" si="19">(-1*B88)/B3</f>
        <v>2.4597364568081991E-2</v>
      </c>
      <c r="C89" s="15">
        <f t="shared" si="19"/>
        <v>4.9674393211210005E-2</v>
      </c>
      <c r="D89" s="15">
        <f t="shared" si="19"/>
        <v>6.8699776879330307E-2</v>
      </c>
      <c r="E89" s="15">
        <f t="shared" si="19"/>
        <v>7.592507840283301E-2</v>
      </c>
      <c r="F89" s="15">
        <f t="shared" si="19"/>
        <v>7.4226528960426502E-2</v>
      </c>
      <c r="G89" s="15">
        <f t="shared" si="19"/>
        <v>2.2488682941833329E-2</v>
      </c>
      <c r="H89" s="15">
        <f t="shared" si="19"/>
        <v>3.528417465059816E-2</v>
      </c>
      <c r="I89" s="15">
        <f t="shared" si="19"/>
        <v>4.6293980288504316E-2</v>
      </c>
      <c r="J89" s="15">
        <f t="shared" si="19"/>
        <v>4.0035253024820111E-2</v>
      </c>
      <c r="K89" s="15">
        <f t="shared" si="19"/>
        <v>2.2977281147986802E-2</v>
      </c>
      <c r="L89" s="15">
        <f t="shared" si="19"/>
        <v>1.5205371248025276E-2</v>
      </c>
      <c r="M89" s="15">
        <f t="shared" si="19"/>
        <v>1.425531914893617E-2</v>
      </c>
      <c r="N89" s="15">
        <f t="shared" si="19"/>
        <v>1.5327450069670227E-2</v>
      </c>
      <c r="O89" s="15">
        <f t="shared" si="19"/>
        <v>2.7199647615901334E-2</v>
      </c>
      <c r="P89" s="15">
        <f t="shared" si="19"/>
        <v>1.606511727535611E-2</v>
      </c>
      <c r="Q89" s="15">
        <f t="shared" si="19"/>
        <v>9.2337917485265219E-3</v>
      </c>
      <c r="R89" s="15">
        <f t="shared" si="19"/>
        <v>5.9561411424961649E-3</v>
      </c>
      <c r="S89" s="15">
        <f t="shared" si="19"/>
        <v>1.9384264538198404E-2</v>
      </c>
      <c r="T89" s="15">
        <f t="shared" si="19"/>
        <v>1.0667861945316002E-2</v>
      </c>
      <c r="U89" s="15">
        <f t="shared" si="19"/>
        <v>1.240893443279161E-2</v>
      </c>
      <c r="V89" s="15">
        <f t="shared" si="19"/>
        <v>1.4368220876179744E-2</v>
      </c>
      <c r="W89" s="15">
        <f t="shared" si="19"/>
        <v>1.7470252424513378E-2</v>
      </c>
      <c r="X89" s="15">
        <f t="shared" si="19"/>
        <v>1.1971613699475471E-2</v>
      </c>
      <c r="Y89" s="15">
        <f t="shared" si="19"/>
        <v>1.7600908433983691E-2</v>
      </c>
      <c r="Z89" s="15">
        <f t="shared" si="19"/>
        <v>2.9821518491579477E-2</v>
      </c>
      <c r="AG89" s="50" t="s">
        <v>19</v>
      </c>
      <c r="AH89" s="51">
        <f>Z25</f>
        <v>6290000000</v>
      </c>
      <c r="AI89" s="15"/>
      <c r="AJ89" s="15"/>
      <c r="AK89" s="15"/>
      <c r="AL89" s="15"/>
      <c r="AS89" s="23" t="s">
        <v>106</v>
      </c>
      <c r="AT89" s="24">
        <f>AL27</f>
        <v>0</v>
      </c>
    </row>
    <row r="90" spans="1:46" ht="20" x14ac:dyDescent="0.25">
      <c r="A90" s="5" t="s">
        <v>75</v>
      </c>
      <c r="B90" s="1" t="s">
        <v>92</v>
      </c>
      <c r="C90" s="1" t="s">
        <v>92</v>
      </c>
      <c r="D90" s="1" t="s">
        <v>92</v>
      </c>
      <c r="E90" s="1" t="s">
        <v>92</v>
      </c>
      <c r="F90" s="1">
        <v>-1733000</v>
      </c>
      <c r="G90" s="1">
        <v>-8930000</v>
      </c>
      <c r="H90" s="1">
        <v>-74000</v>
      </c>
      <c r="I90" s="1">
        <v>-275218000</v>
      </c>
      <c r="J90" s="1">
        <v>-272353000</v>
      </c>
      <c r="K90" s="1">
        <v>-591765000</v>
      </c>
      <c r="L90" s="1">
        <v>-34000000</v>
      </c>
      <c r="M90" s="1">
        <v>-5755000000</v>
      </c>
      <c r="N90" s="1">
        <v>-21000000</v>
      </c>
      <c r="O90" s="1" t="s">
        <v>92</v>
      </c>
      <c r="P90" s="1">
        <v>-267000000</v>
      </c>
      <c r="Q90" s="1">
        <v>-298000000</v>
      </c>
      <c r="R90" s="1" t="s">
        <v>92</v>
      </c>
      <c r="S90" s="1">
        <v>-273000000</v>
      </c>
      <c r="T90" s="1">
        <v>-30000000</v>
      </c>
      <c r="U90" s="1">
        <v>-102000000</v>
      </c>
      <c r="V90" s="1">
        <v>-699000000</v>
      </c>
      <c r="W90" s="1">
        <v>-1510000000</v>
      </c>
      <c r="X90" s="1" t="s">
        <v>92</v>
      </c>
      <c r="Y90" s="1">
        <v>-1106000000</v>
      </c>
      <c r="Z90" s="1" t="s">
        <v>92</v>
      </c>
      <c r="AG90" s="52" t="s">
        <v>130</v>
      </c>
      <c r="AH90" s="53">
        <f>AH88/AH89</f>
        <v>0.20604133545310016</v>
      </c>
    </row>
    <row r="91" spans="1:46" ht="20" x14ac:dyDescent="0.25">
      <c r="A91" s="5" t="s">
        <v>76</v>
      </c>
      <c r="B91" s="1" t="s">
        <v>92</v>
      </c>
      <c r="C91" s="1" t="s">
        <v>92</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54" t="s">
        <v>131</v>
      </c>
      <c r="AH91" s="55">
        <f>AH87*(1-AH90)</f>
        <v>1.8050320309270004E-2</v>
      </c>
    </row>
    <row r="92" spans="1:46" ht="19" x14ac:dyDescent="0.25">
      <c r="A92" s="5" t="s">
        <v>77</v>
      </c>
      <c r="B92" s="1">
        <v>3400000</v>
      </c>
      <c r="C92" s="1">
        <v>29000</v>
      </c>
      <c r="D92" s="1" t="s">
        <v>92</v>
      </c>
      <c r="E92" s="1" t="s">
        <v>92</v>
      </c>
      <c r="F92" s="1" t="s">
        <v>92</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64" t="s">
        <v>132</v>
      </c>
      <c r="AH92" s="65"/>
    </row>
    <row r="93" spans="1:46" ht="19" customHeight="1" x14ac:dyDescent="0.25">
      <c r="A93" s="5" t="s">
        <v>78</v>
      </c>
      <c r="B93" s="1" t="s">
        <v>92</v>
      </c>
      <c r="C93" s="1" t="s">
        <v>92</v>
      </c>
      <c r="D93" s="1" t="s">
        <v>92</v>
      </c>
      <c r="E93" s="1" t="s">
        <v>92</v>
      </c>
      <c r="F93" s="1" t="s">
        <v>92</v>
      </c>
      <c r="G93" s="1" t="s">
        <v>92</v>
      </c>
      <c r="H93" s="1">
        <v>-61925000</v>
      </c>
      <c r="I93" s="1">
        <v>-7700000</v>
      </c>
      <c r="J93" s="1">
        <v>546878000</v>
      </c>
      <c r="K93" s="1">
        <v>7017000</v>
      </c>
      <c r="L93" s="1">
        <v>15000000</v>
      </c>
      <c r="M93" s="1">
        <v>89000000</v>
      </c>
      <c r="N93" s="1" t="s">
        <v>92</v>
      </c>
      <c r="O93" s="1" t="s">
        <v>92</v>
      </c>
      <c r="P93" s="1">
        <v>73000000</v>
      </c>
      <c r="Q93" s="1">
        <v>83000000</v>
      </c>
      <c r="R93" s="1">
        <v>143000000</v>
      </c>
      <c r="S93" s="1">
        <v>66000000</v>
      </c>
      <c r="T93" s="1">
        <v>34000000</v>
      </c>
      <c r="U93" s="1">
        <v>32000000</v>
      </c>
      <c r="V93" s="1">
        <v>24000000</v>
      </c>
      <c r="W93" s="1">
        <v>136000000</v>
      </c>
      <c r="X93" s="1">
        <v>183000000</v>
      </c>
      <c r="Y93" s="1">
        <v>-9000000</v>
      </c>
      <c r="Z93" s="1">
        <v>-15000000</v>
      </c>
      <c r="AG93" s="50" t="s">
        <v>133</v>
      </c>
      <c r="AH93" s="56">
        <v>4.095E-2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50" t="s">
        <v>134</v>
      </c>
      <c r="AH94" s="57" cm="1">
        <f t="array" ref="AH94">_FV(A1,"Beta")</f>
        <v>1.2902</v>
      </c>
    </row>
    <row r="95" spans="1:46" ht="20" x14ac:dyDescent="0.25">
      <c r="A95" s="5" t="s">
        <v>80</v>
      </c>
      <c r="B95" s="1">
        <v>-28200000</v>
      </c>
      <c r="C95" s="1">
        <v>-168800000</v>
      </c>
      <c r="D95" s="1">
        <v>-28200000</v>
      </c>
      <c r="E95" s="1" t="s">
        <v>92</v>
      </c>
      <c r="F95" s="1" t="s">
        <v>92</v>
      </c>
      <c r="G95" s="1">
        <v>-842000</v>
      </c>
      <c r="H95" s="1" t="s">
        <v>92</v>
      </c>
      <c r="I95" s="1">
        <v>-523680000</v>
      </c>
      <c r="J95" s="1" t="s">
        <v>92</v>
      </c>
      <c r="K95" s="1" t="s">
        <v>92</v>
      </c>
      <c r="L95" s="1">
        <v>-401000000</v>
      </c>
      <c r="M95" s="1">
        <v>-7000000</v>
      </c>
      <c r="N95" s="1">
        <v>-2310000000</v>
      </c>
      <c r="O95" s="1">
        <v>-792000000</v>
      </c>
      <c r="P95" s="1">
        <v>-500000000</v>
      </c>
      <c r="Q95" s="1">
        <v>-1260000000</v>
      </c>
      <c r="R95" s="1">
        <v>-488000000</v>
      </c>
      <c r="S95" s="1">
        <v>-750000000</v>
      </c>
      <c r="T95" s="1" t="s">
        <v>92</v>
      </c>
      <c r="U95" s="1">
        <v>-700000000</v>
      </c>
      <c r="V95" s="1" t="s">
        <v>92</v>
      </c>
      <c r="W95" s="1">
        <v>-1000000000</v>
      </c>
      <c r="X95" s="1" t="s">
        <v>92</v>
      </c>
      <c r="Y95" s="1">
        <v>-750000000</v>
      </c>
      <c r="Z95" s="1">
        <v>-750000000</v>
      </c>
      <c r="AG95" s="50" t="s">
        <v>135</v>
      </c>
      <c r="AH95" s="56">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92</v>
      </c>
      <c r="S96" s="1" t="s">
        <v>92</v>
      </c>
      <c r="T96" s="1" t="s">
        <v>92</v>
      </c>
      <c r="U96" s="1" t="s">
        <v>92</v>
      </c>
      <c r="V96" s="1" t="s">
        <v>92</v>
      </c>
      <c r="W96" s="1" t="s">
        <v>92</v>
      </c>
      <c r="X96" s="1" t="s">
        <v>92</v>
      </c>
      <c r="Y96" s="1">
        <v>387000000</v>
      </c>
      <c r="Z96" s="1">
        <v>576000000</v>
      </c>
      <c r="AG96" s="54" t="s">
        <v>136</v>
      </c>
      <c r="AH96" s="55">
        <f>(AH93)+((AH94)*(AH95-AH93))</f>
        <v>9.6493110000000007E-2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64" t="s">
        <v>137</v>
      </c>
      <c r="AH97" s="65"/>
    </row>
    <row r="98" spans="1:46" ht="19" customHeight="1" x14ac:dyDescent="0.25">
      <c r="A98" s="5" t="s">
        <v>83</v>
      </c>
      <c r="B98" s="1">
        <v>-12300000</v>
      </c>
      <c r="C98" s="1" t="s">
        <v>92</v>
      </c>
      <c r="D98" s="1" t="s">
        <v>92</v>
      </c>
      <c r="E98" s="1" t="s">
        <v>92</v>
      </c>
      <c r="F98" s="1" t="s">
        <v>92</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50" t="s">
        <v>138</v>
      </c>
      <c r="AH98" s="51">
        <f>AH85+AH86</f>
        <v>9325000000</v>
      </c>
    </row>
    <row r="99" spans="1:46" ht="20" x14ac:dyDescent="0.25">
      <c r="A99" s="5" t="s">
        <v>84</v>
      </c>
      <c r="B99" s="1">
        <v>2100000</v>
      </c>
      <c r="C99" s="1">
        <v>-2646000</v>
      </c>
      <c r="D99" s="1">
        <v>-91000</v>
      </c>
      <c r="E99" s="1">
        <v>-696000</v>
      </c>
      <c r="F99" s="1">
        <v>-766000</v>
      </c>
      <c r="G99" s="1" t="s">
        <v>92</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52" t="s">
        <v>139</v>
      </c>
      <c r="AH99" s="53">
        <f>AH98/AH102</f>
        <v>8.6390459306341594E-2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50" t="s">
        <v>140</v>
      </c>
      <c r="AH100" s="43" cm="1">
        <f t="array" ref="AH100">_FV(A1,"Market cap",TRUE)</f>
        <v>98615160000</v>
      </c>
    </row>
    <row r="101" spans="1:46" ht="20" x14ac:dyDescent="0.25">
      <c r="A101" s="5" t="s">
        <v>86</v>
      </c>
      <c r="B101" s="1" t="s">
        <v>92</v>
      </c>
      <c r="C101" s="1" t="s">
        <v>92</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52" t="s">
        <v>141</v>
      </c>
      <c r="AH101" s="53">
        <f>AH100/AH102</f>
        <v>0.91360954069365841</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54" t="s">
        <v>142</v>
      </c>
      <c r="AH102" s="58">
        <f>AH98+AH100</f>
        <v>107940160000</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66" t="s">
        <v>143</v>
      </c>
      <c r="AH103" s="67"/>
    </row>
    <row r="104" spans="1:46" ht="19" customHeight="1" x14ac:dyDescent="0.25">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25" t="s">
        <v>108</v>
      </c>
      <c r="AH104" s="26">
        <f>(AH99*AH91)+(AH101*AH96)</f>
        <v>8.9716401369347082E-2</v>
      </c>
    </row>
    <row r="105" spans="1:46" ht="20" x14ac:dyDescent="0.25">
      <c r="A105" s="14" t="s">
        <v>107</v>
      </c>
      <c r="B105" s="1"/>
      <c r="C105" s="15">
        <f>(C106/B106)-1</f>
        <v>1.1501324503311259</v>
      </c>
      <c r="D105" s="15">
        <f>(D106/C106)-1</f>
        <v>-0.22130162934672126</v>
      </c>
      <c r="E105" s="15">
        <f>(E106/D106)-1</f>
        <v>0.67304801835297834</v>
      </c>
      <c r="F105" s="15">
        <f>(F106/E106)-1</f>
        <v>1.8314498715463312E-2</v>
      </c>
      <c r="G105" s="15">
        <f>(G106/F106)-1</f>
        <v>0.28574966335959395</v>
      </c>
      <c r="H105" s="15">
        <f t="shared" ref="H105:V105" si="20">(H106/G106)-1</f>
        <v>0.2384947815723899</v>
      </c>
      <c r="I105" s="15">
        <f t="shared" si="20"/>
        <v>-2.907671821389346E-2</v>
      </c>
      <c r="J105" s="15">
        <f t="shared" si="20"/>
        <v>2.1879138865669252</v>
      </c>
      <c r="K105" s="15">
        <f t="shared" si="20"/>
        <v>-0.25241210819433779</v>
      </c>
      <c r="L105" s="15">
        <f t="shared" si="20"/>
        <v>2.8623742995639865</v>
      </c>
      <c r="M105" s="15">
        <f t="shared" si="20"/>
        <v>-0.27569331158238175</v>
      </c>
      <c r="N105" s="15">
        <f t="shared" si="20"/>
        <v>0.76876876876876876</v>
      </c>
      <c r="O105" s="15">
        <f t="shared" si="20"/>
        <v>9.4651952461799693E-2</v>
      </c>
      <c r="P105" s="15">
        <f t="shared" si="20"/>
        <v>-0.18960837533927877</v>
      </c>
      <c r="Q105" s="15">
        <f t="shared" si="20"/>
        <v>0.69760765550239245</v>
      </c>
      <c r="R105" s="15">
        <f t="shared" si="20"/>
        <v>-0.1502254791431793</v>
      </c>
      <c r="S105" s="15">
        <f t="shared" si="20"/>
        <v>-7.6948590381426207E-2</v>
      </c>
      <c r="T105" s="15">
        <f t="shared" si="20"/>
        <v>-0.26877470355731226</v>
      </c>
      <c r="U105" s="15">
        <f t="shared" si="20"/>
        <v>0.80491400491400489</v>
      </c>
      <c r="V105" s="15">
        <f t="shared" si="20"/>
        <v>-0.21835012251565478</v>
      </c>
      <c r="W105" s="15">
        <f t="shared" ref="W105" si="21">(W106/V106)-1</f>
        <v>-8.3942877046325304E-2</v>
      </c>
      <c r="X105" s="15">
        <f t="shared" ref="X105" si="22">(X106/W106)-1</f>
        <v>0.34942965779467672</v>
      </c>
      <c r="Y105" s="15">
        <f t="shared" ref="Y105" si="23">(Y106/X106)-1</f>
        <v>0.29698506621583554</v>
      </c>
      <c r="Z105" s="15">
        <f t="shared" ref="Z105" si="24">(Z106/Y106)-1</f>
        <v>-3.9104931566369738E-2</v>
      </c>
      <c r="AA105" s="15"/>
      <c r="AB105" s="15"/>
      <c r="AC105" s="15"/>
      <c r="AD105" s="15"/>
      <c r="AE105" s="15"/>
      <c r="AF105" s="15"/>
      <c r="AG105" s="68" t="s">
        <v>158</v>
      </c>
      <c r="AH105" s="69"/>
      <c r="AI105" s="15"/>
      <c r="AJ105" s="15"/>
      <c r="AK105" s="15"/>
      <c r="AL105" s="15"/>
      <c r="AM105" s="15"/>
      <c r="AN105" s="15"/>
      <c r="AO105" s="15"/>
      <c r="AP105" s="15"/>
      <c r="AQ105" s="15"/>
      <c r="AR105" s="15"/>
      <c r="AS105" s="25" t="s">
        <v>108</v>
      </c>
      <c r="AT105" s="26">
        <f>(AT100*AT92)+(AT102*AT97)</f>
        <v>0</v>
      </c>
    </row>
    <row r="106" spans="1:46" ht="19" x14ac:dyDescent="0.25">
      <c r="A106" s="5" t="s">
        <v>90</v>
      </c>
      <c r="B106" s="1">
        <v>45300000</v>
      </c>
      <c r="C106" s="1">
        <v>97401000</v>
      </c>
      <c r="D106" s="1">
        <v>75846000</v>
      </c>
      <c r="E106" s="1">
        <v>126894000</v>
      </c>
      <c r="F106" s="1">
        <v>129218000</v>
      </c>
      <c r="G106" s="1">
        <v>166142000</v>
      </c>
      <c r="H106" s="1">
        <v>205766000</v>
      </c>
      <c r="I106" s="1">
        <v>199783000</v>
      </c>
      <c r="J106" s="1">
        <v>636891000</v>
      </c>
      <c r="K106" s="1">
        <v>476132000</v>
      </c>
      <c r="L106" s="1">
        <v>1839000000</v>
      </c>
      <c r="M106" s="1">
        <v>1332000000</v>
      </c>
      <c r="N106" s="1">
        <v>2356000000</v>
      </c>
      <c r="O106" s="1">
        <v>2579000000</v>
      </c>
      <c r="P106" s="1">
        <v>2090000000</v>
      </c>
      <c r="Q106" s="1">
        <v>3548000000</v>
      </c>
      <c r="R106" s="1">
        <v>3015000000</v>
      </c>
      <c r="S106" s="1">
        <v>2783000000</v>
      </c>
      <c r="T106" s="1">
        <v>2035000000</v>
      </c>
      <c r="U106" s="1">
        <v>3673000000</v>
      </c>
      <c r="V106" s="1">
        <v>2871000000</v>
      </c>
      <c r="W106" s="1">
        <v>2630000000</v>
      </c>
      <c r="X106" s="1">
        <v>3549000000</v>
      </c>
      <c r="Y106" s="1">
        <v>4603000000</v>
      </c>
      <c r="Z106" s="1">
        <v>4423000000</v>
      </c>
      <c r="AA106" s="32">
        <f>Z106*(1+$AH$106)</f>
        <v>4644949465.9571314</v>
      </c>
      <c r="AB106" s="32">
        <f t="shared" ref="AB106:AE106" si="25">AA106*(1+$AH$106)</f>
        <v>4878036523.0150213</v>
      </c>
      <c r="AC106" s="32">
        <f t="shared" si="25"/>
        <v>5122820063.870225</v>
      </c>
      <c r="AD106" s="32">
        <f t="shared" si="25"/>
        <v>5379887026.8750801</v>
      </c>
      <c r="AE106" s="32">
        <f t="shared" si="25"/>
        <v>5649853803.3898039</v>
      </c>
      <c r="AF106" s="33" t="s">
        <v>144</v>
      </c>
      <c r="AG106" s="34" t="s">
        <v>145</v>
      </c>
      <c r="AH106" s="35">
        <f>(SUM(AA4:AE4)/5)</f>
        <v>5.0180751968603013E-2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33"/>
      <c r="AB107" s="33"/>
      <c r="AC107" s="33"/>
      <c r="AD107" s="33"/>
      <c r="AE107" s="36">
        <f>AE106*(1+AH107)/(AH108-AH107)</f>
        <v>89484273320.820053</v>
      </c>
      <c r="AF107" s="37" t="s">
        <v>146</v>
      </c>
      <c r="AG107" s="38" t="s">
        <v>147</v>
      </c>
      <c r="AH107" s="39">
        <v>2.5000000000000001E-2</v>
      </c>
    </row>
    <row r="108" spans="1:46" ht="19" x14ac:dyDescent="0.25">
      <c r="AA108" s="36">
        <f t="shared" ref="AA108:AC108" si="26">AA107+AA106</f>
        <v>4644949465.9571314</v>
      </c>
      <c r="AB108" s="36">
        <f t="shared" si="26"/>
        <v>4878036523.0150213</v>
      </c>
      <c r="AC108" s="36">
        <f t="shared" si="26"/>
        <v>5122820063.870225</v>
      </c>
      <c r="AD108" s="36">
        <f>AD107+AD106</f>
        <v>5379887026.8750801</v>
      </c>
      <c r="AE108" s="36">
        <f>AE107+AE106</f>
        <v>95134127124.209854</v>
      </c>
      <c r="AF108" s="37" t="s">
        <v>142</v>
      </c>
      <c r="AG108" s="40" t="s">
        <v>148</v>
      </c>
      <c r="AH108" s="41">
        <f>AH104</f>
        <v>8.9716401369347082E-2</v>
      </c>
    </row>
    <row r="109" spans="1:46" ht="19" x14ac:dyDescent="0.25">
      <c r="AA109" s="60" t="s">
        <v>149</v>
      </c>
      <c r="AB109" s="61"/>
    </row>
    <row r="110" spans="1:46" ht="20" x14ac:dyDescent="0.25">
      <c r="AA110" s="42" t="s">
        <v>150</v>
      </c>
      <c r="AB110" s="43">
        <f>NPV(AH108,AA108,AB108,AC108,AD108,AE108)</f>
        <v>78055630710.913696</v>
      </c>
    </row>
    <row r="111" spans="1:46" ht="20" x14ac:dyDescent="0.25">
      <c r="AA111" s="42" t="s">
        <v>151</v>
      </c>
      <c r="AB111" s="43">
        <f>Z40</f>
        <v>14882000000</v>
      </c>
    </row>
    <row r="112" spans="1:46" ht="20" x14ac:dyDescent="0.25">
      <c r="AA112" s="42" t="s">
        <v>138</v>
      </c>
      <c r="AB112" s="43">
        <f>AH98</f>
        <v>9325000000</v>
      </c>
    </row>
    <row r="113" spans="27:28" ht="20" x14ac:dyDescent="0.25">
      <c r="AA113" s="42" t="s">
        <v>152</v>
      </c>
      <c r="AB113" s="43">
        <f>AB110+AB111-AB112</f>
        <v>83612630710.913696</v>
      </c>
    </row>
    <row r="114" spans="27:28" ht="20" x14ac:dyDescent="0.25">
      <c r="AA114" s="42" t="s">
        <v>153</v>
      </c>
      <c r="AB114" s="49">
        <f>Z34*(1+(5*AF16))</f>
        <v>140966235.27916574</v>
      </c>
    </row>
    <row r="115" spans="27:28" ht="20" x14ac:dyDescent="0.25">
      <c r="AA115" s="44" t="s">
        <v>154</v>
      </c>
      <c r="AB115" s="70">
        <f>AB113/AB114</f>
        <v>593.13941771467114</v>
      </c>
    </row>
    <row r="116" spans="27:28" ht="20" x14ac:dyDescent="0.25">
      <c r="AA116" s="42" t="s">
        <v>155</v>
      </c>
      <c r="AB116" s="59" cm="1">
        <f t="array" ref="AB116">_FV(A1,"Price")</f>
        <v>656.4</v>
      </c>
    </row>
    <row r="117" spans="27:28" ht="20" x14ac:dyDescent="0.25">
      <c r="AA117" s="45" t="s">
        <v>156</v>
      </c>
      <c r="AB117" s="46">
        <f>AB115/AB116-1</f>
        <v>-9.6375049185449146E-2</v>
      </c>
    </row>
    <row r="118" spans="27:28" ht="20" x14ac:dyDescent="0.25">
      <c r="AA118" s="45" t="s">
        <v>157</v>
      </c>
      <c r="AB118" s="47"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2023-04-08T07:07:19Z</dcterms:modified>
</cp:coreProperties>
</file>