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Basic Materials/"/>
    </mc:Choice>
  </mc:AlternateContent>
  <xr:revisionPtr revIDLastSave="0" documentId="13_ncr:1_{7F6E6F9D-FC16-7E42-BC74-7AEE056F283F}"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8" i="2" l="1" a="1"/>
  <c r="K8" i="2" s="1"/>
  <c r="G10" i="2" s="1"/>
  <c r="H10" i="2" l="1"/>
  <c r="I10" i="2"/>
  <c r="H15" i="2"/>
  <c r="H17" i="2" s="1"/>
  <c r="J10" i="2"/>
  <c r="I15" i="2"/>
  <c r="J15" i="2"/>
  <c r="I12" i="2"/>
  <c r="J12" i="2"/>
  <c r="J14" i="2" s="1"/>
  <c r="F15" i="2"/>
  <c r="G15" i="2"/>
  <c r="G17" i="2" s="1"/>
  <c r="F12" i="2"/>
  <c r="H12" i="2"/>
  <c r="G12" i="2"/>
  <c r="G14" i="2" s="1"/>
  <c r="F10" i="2"/>
  <c r="F11" i="2" s="1"/>
  <c r="G3" i="2"/>
  <c r="O10" i="2"/>
  <c r="O9" i="2"/>
  <c r="O7" i="2"/>
  <c r="G7" i="2"/>
  <c r="E7" i="2"/>
  <c r="O6" i="2"/>
  <c r="G6" i="2"/>
  <c r="E6" i="2"/>
  <c r="O5" i="2"/>
  <c r="G5" i="2"/>
  <c r="C4" i="2"/>
  <c r="A4" i="2"/>
  <c r="C3" i="2"/>
  <c r="O19" i="2"/>
  <c r="A22" i="2" a="1"/>
  <c r="A22" i="2" s="1"/>
  <c r="D21" i="2" a="1"/>
  <c r="D21" i="2" s="1"/>
  <c r="A21" i="2" a="1"/>
  <c r="A21" i="2" s="1"/>
  <c r="O20" i="2" a="1"/>
  <c r="O20" i="2" s="1"/>
  <c r="E17" i="2"/>
  <c r="D17" i="2"/>
  <c r="C17" i="2"/>
  <c r="B17" i="2"/>
  <c r="H16" i="2"/>
  <c r="F16" i="2"/>
  <c r="E16" i="2"/>
  <c r="D16" i="2"/>
  <c r="C16" i="2"/>
  <c r="E5" i="2" s="1"/>
  <c r="O15" i="2" a="1"/>
  <c r="O15" i="2" s="1"/>
  <c r="H14" i="2"/>
  <c r="E14" i="2"/>
  <c r="D14" i="2"/>
  <c r="C14" i="2"/>
  <c r="B14" i="2"/>
  <c r="F13" i="2"/>
  <c r="E13" i="2"/>
  <c r="D13" i="2"/>
  <c r="C13" i="2"/>
  <c r="E4" i="2" s="1"/>
  <c r="I11" i="2"/>
  <c r="H11" i="2"/>
  <c r="E11" i="2"/>
  <c r="D11" i="2"/>
  <c r="C11" i="2"/>
  <c r="E3" i="2" s="1"/>
  <c r="O11" i="2"/>
  <c r="K5" i="2" a="1"/>
  <c r="K5" i="2" s="1"/>
  <c r="A5" i="2" a="1"/>
  <c r="A5" i="2" s="1"/>
  <c r="K4" i="2" a="1"/>
  <c r="K4" i="2" s="1"/>
  <c r="A3" i="2" a="1"/>
  <c r="A3" i="2" s="1"/>
  <c r="K3" i="2" s="1"/>
  <c r="N190" i="1"/>
  <c r="O190" i="1"/>
  <c r="P190" i="1"/>
  <c r="Q190" i="1"/>
  <c r="R190" i="1"/>
  <c r="S190" i="1"/>
  <c r="T190" i="1"/>
  <c r="U190" i="1"/>
  <c r="M190" i="1"/>
  <c r="L190" i="1"/>
  <c r="K190" i="1"/>
  <c r="J190" i="1"/>
  <c r="I190" i="1"/>
  <c r="H190" i="1"/>
  <c r="G190" i="1"/>
  <c r="F190" i="1"/>
  <c r="E190" i="1"/>
  <c r="D190" i="1"/>
  <c r="C190" i="1"/>
  <c r="B190" i="1"/>
  <c r="M189" i="1"/>
  <c r="N189" i="1"/>
  <c r="O189" i="1"/>
  <c r="P189" i="1"/>
  <c r="Q189" i="1"/>
  <c r="S189" i="1"/>
  <c r="T189" i="1"/>
  <c r="U189" i="1"/>
  <c r="L189" i="1"/>
  <c r="K189" i="1"/>
  <c r="J189" i="1"/>
  <c r="I189" i="1"/>
  <c r="H189" i="1"/>
  <c r="G189" i="1"/>
  <c r="F189" i="1"/>
  <c r="E189" i="1"/>
  <c r="D189" i="1"/>
  <c r="C189" i="1"/>
  <c r="N143" i="1"/>
  <c r="O143" i="1"/>
  <c r="P143" i="1"/>
  <c r="Q143" i="1"/>
  <c r="R143" i="1"/>
  <c r="S143" i="1"/>
  <c r="T143" i="1"/>
  <c r="U143" i="1"/>
  <c r="M143" i="1"/>
  <c r="L143" i="1"/>
  <c r="K143" i="1"/>
  <c r="J143" i="1"/>
  <c r="I143" i="1"/>
  <c r="H143" i="1"/>
  <c r="G143" i="1"/>
  <c r="F143" i="1"/>
  <c r="E143" i="1"/>
  <c r="D143" i="1"/>
  <c r="C143" i="1"/>
  <c r="B143" i="1"/>
  <c r="N129" i="1"/>
  <c r="O129" i="1"/>
  <c r="P129" i="1"/>
  <c r="Q129" i="1"/>
  <c r="R129" i="1"/>
  <c r="S129" i="1"/>
  <c r="T129" i="1"/>
  <c r="U129" i="1"/>
  <c r="M129" i="1"/>
  <c r="L129" i="1"/>
  <c r="K129" i="1"/>
  <c r="J129" i="1"/>
  <c r="I129" i="1"/>
  <c r="H129" i="1"/>
  <c r="G129" i="1"/>
  <c r="F129" i="1"/>
  <c r="E129" i="1"/>
  <c r="D129" i="1"/>
  <c r="C129" i="1"/>
  <c r="N3" i="1"/>
  <c r="O3" i="1"/>
  <c r="P3" i="1"/>
  <c r="Q3" i="1"/>
  <c r="S3" i="1"/>
  <c r="T3" i="1"/>
  <c r="U3" i="1"/>
  <c r="N12" i="1"/>
  <c r="O12" i="1"/>
  <c r="P12" i="1"/>
  <c r="Q12" i="1"/>
  <c r="R12" i="1"/>
  <c r="S12" i="1"/>
  <c r="T12" i="1"/>
  <c r="U12" i="1"/>
  <c r="N14" i="1"/>
  <c r="O14" i="1"/>
  <c r="P14" i="1"/>
  <c r="Q14" i="1"/>
  <c r="R14" i="1"/>
  <c r="S14" i="1"/>
  <c r="T14" i="1"/>
  <c r="U14" i="1"/>
  <c r="N18" i="1"/>
  <c r="O18" i="1"/>
  <c r="P18" i="1"/>
  <c r="Q18" i="1"/>
  <c r="S18" i="1"/>
  <c r="T18" i="1"/>
  <c r="U18" i="1"/>
  <c r="N35" i="1"/>
  <c r="O35" i="1"/>
  <c r="P35" i="1"/>
  <c r="Q35" i="1"/>
  <c r="S35" i="1"/>
  <c r="T35" i="1"/>
  <c r="U35" i="1"/>
  <c r="N36" i="1"/>
  <c r="O36" i="1"/>
  <c r="P36" i="1"/>
  <c r="Q36" i="1"/>
  <c r="R36" i="1"/>
  <c r="S36" i="1"/>
  <c r="T36" i="1"/>
  <c r="U36" i="1"/>
  <c r="M36" i="1"/>
  <c r="L36" i="1"/>
  <c r="K36" i="1"/>
  <c r="J36" i="1"/>
  <c r="I36" i="1"/>
  <c r="H36" i="1"/>
  <c r="G36" i="1"/>
  <c r="F36" i="1"/>
  <c r="E36" i="1"/>
  <c r="D36" i="1"/>
  <c r="C36" i="1"/>
  <c r="B36" i="1"/>
  <c r="M35" i="1"/>
  <c r="L35" i="1"/>
  <c r="K35" i="1"/>
  <c r="I35" i="1"/>
  <c r="H35" i="1"/>
  <c r="G35" i="1"/>
  <c r="F35" i="1"/>
  <c r="E35" i="1"/>
  <c r="D35" i="1"/>
  <c r="C35" i="1"/>
  <c r="M18" i="1"/>
  <c r="L18" i="1"/>
  <c r="K18" i="1"/>
  <c r="I18" i="1"/>
  <c r="H18" i="1"/>
  <c r="G18" i="1"/>
  <c r="F18" i="1"/>
  <c r="E18" i="1"/>
  <c r="D18" i="1"/>
  <c r="C18" i="1"/>
  <c r="M14" i="1"/>
  <c r="L14" i="1"/>
  <c r="K14" i="1"/>
  <c r="J14" i="1"/>
  <c r="I14" i="1"/>
  <c r="H14" i="1"/>
  <c r="G14" i="1"/>
  <c r="F14" i="1"/>
  <c r="E14" i="1"/>
  <c r="D14" i="1"/>
  <c r="C14" i="1"/>
  <c r="B14" i="1"/>
  <c r="M12" i="1"/>
  <c r="L12" i="1"/>
  <c r="K12" i="1"/>
  <c r="J12" i="1"/>
  <c r="I12" i="1"/>
  <c r="H12" i="1"/>
  <c r="G12" i="1"/>
  <c r="F12" i="1"/>
  <c r="E12" i="1"/>
  <c r="D12" i="1"/>
  <c r="C12" i="1"/>
  <c r="B12" i="1"/>
  <c r="M3" i="1"/>
  <c r="L3" i="1"/>
  <c r="K3" i="1"/>
  <c r="I3" i="1"/>
  <c r="H3" i="1"/>
  <c r="G3" i="1"/>
  <c r="F3" i="1"/>
  <c r="E3" i="1"/>
  <c r="D3" i="1"/>
  <c r="C3" i="1"/>
  <c r="H13" i="2" l="1"/>
  <c r="J11" i="2"/>
  <c r="I13" i="2"/>
  <c r="J17" i="2"/>
  <c r="I17" i="2"/>
  <c r="G11" i="2"/>
  <c r="G13" i="2"/>
  <c r="K13" i="2" s="1"/>
  <c r="F17" i="2"/>
  <c r="C6" i="2" s="1"/>
  <c r="F14" i="2"/>
  <c r="C5" i="2" s="1"/>
  <c r="G16" i="2"/>
  <c r="K16" i="2" s="1"/>
  <c r="I16" i="2"/>
  <c r="J13" i="2"/>
  <c r="I14" i="2"/>
  <c r="J16" i="2"/>
  <c r="K11" i="2"/>
  <c r="O8" i="2"/>
  <c r="O12" i="2" s="1"/>
  <c r="G4" i="2"/>
  <c r="C7" i="2"/>
  <c r="O21" i="2"/>
  <c r="O22" i="2" s="1"/>
  <c r="A7" i="2"/>
  <c r="A6" i="2"/>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4"/>
        </ext>
      </extLst>
    </bk>
  </futureMetadata>
  <cellMetadata count="1">
    <bk>
      <rc t="1" v="0"/>
    </bk>
  </cellMetadata>
  <valueMetadata count="2">
    <bk>
      <rc t="2" v="0"/>
    </bk>
    <bk>
      <rc t="2" v="1"/>
    </bk>
  </valueMetadata>
</metadata>
</file>

<file path=xl/sharedStrings.xml><?xml version="1.0" encoding="utf-8"?>
<sst xmlns="http://schemas.openxmlformats.org/spreadsheetml/2006/main" count="1319" uniqueCount="255">
  <si>
    <t>2008 Y</t>
  </si>
  <si>
    <t>2009 Y</t>
  </si>
  <si>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</si>
  <si>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</si>
  <si>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</si>
  <si>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</si>
  <si>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</si>
  <si>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</si>
  <si>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</si>
  <si>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</si>
  <si>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</si>
  <si>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</si>
  <si>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</si>
  <si>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</si>
  <si>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</si>
  <si>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</si>
  <si>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</si>
  <si>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</si>
  <si>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</si>
  <si>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</si>
  <si>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</si>
  <si>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</si>
  <si>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</si>
  <si>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</si>
  <si>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</si>
  <si>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</si>
  <si>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</si>
  <si>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</si>
  <si>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</si>
  <si>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</si>
  <si>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</si>
  <si>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</si>
  <si>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</si>
  <si>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</si>
  <si>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</si>
  <si>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</si>
  <si>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</si>
  <si>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</si>
  <si>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</si>
  <si>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</si>
  <si>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</si>
  <si>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</si>
  <si>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</si>
  <si>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</si>
  <si>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</si>
  <si>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</si>
  <si>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</si>
  <si>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</si>
  <si>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</si>
  <si>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</si>
  <si>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</si>
  <si>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</si>
  <si>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</si>
  <si>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</si>
  <si>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</si>
  <si>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</si>
  <si>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</si>
  <si>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</si>
  <si>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</si>
  <si>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</si>
  <si>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</si>
  <si>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</si>
  <si>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</si>
  <si>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</si>
  <si>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</si>
  <si>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</si>
  <si>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</si>
  <si>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</si>
  <si>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</si>
  <si>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</si>
  <si>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</si>
  <si>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</si>
  <si>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</si>
  <si>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</si>
  <si>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</si>
  <si>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</si>
  <si>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</si>
  <si>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</si>
  <si>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</si>
  <si>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</si>
  <si>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</si>
  <si>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</si>
  <si>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</si>
  <si>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</si>
  <si>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</si>
  <si>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</si>
  <si>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</si>
  <si>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</si>
  <si>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</si>
  <si>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</si>
  <si>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</si>
  <si>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</si>
  <si>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</si>
  <si>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</si>
  <si>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</si>
  <si>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</si>
  <si>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</si>
  <si>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</si>
  <si>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</si>
  <si>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</si>
  <si>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</si>
  <si>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</si>
  <si>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</si>
  <si>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</si>
  <si>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</si>
  <si>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</si>
  <si>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</si>
  <si>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</si>
  <si>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</si>
  <si>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</si>
  <si>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</si>
  <si>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</si>
  <si>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</si>
  <si>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</si>
  <si>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</si>
  <si>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</si>
  <si>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</si>
  <si>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</si>
  <si>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</si>
  <si>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</si>
  <si>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</si>
  <si>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</si>
  <si>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</si>
  <si>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</si>
  <si>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</si>
  <si>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</si>
  <si>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</si>
  <si>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</si>
  <si>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</si>
  <si>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</si>
  <si>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</si>
  <si>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</si>
  <si>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</si>
  <si>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</si>
  <si>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</si>
  <si>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</si>
  <si>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</si>
  <si>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</si>
  <si>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</si>
  <si>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</si>
  <si>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</si>
  <si>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</si>
  <si>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</si>
  <si>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</si>
  <si>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</si>
  <si>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</si>
  <si>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</si>
  <si>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</si>
  <si>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</si>
  <si>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</si>
  <si>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</si>
  <si>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</si>
  <si>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</si>
  <si>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</si>
  <si>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</si>
  <si>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</si>
  <si>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</si>
  <si>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</si>
  <si>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</si>
  <si>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</si>
  <si>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</si>
  <si>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</si>
  <si>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</si>
  <si>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</si>
  <si>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</si>
  <si>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</si>
  <si>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</si>
  <si>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</si>
  <si>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</si>
  <si>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</si>
  <si>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</si>
  <si>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</si>
  <si>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</si>
  <si>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</si>
  <si>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</si>
  <si>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</si>
  <si>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</si>
  <si>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</si>
  <si>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</si>
  <si>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</si>
  <si>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</si>
  <si>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</si>
  <si>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</si>
  <si>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</si>
  <si>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</si>
  <si>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</si>
  <si>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</si>
  <si>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</si>
  <si>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</si>
  <si>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</si>
  <si>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</si>
  <si>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</si>
  <si>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</si>
  <si>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</si>
  <si>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</si>
  <si>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</si>
  <si>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</si>
  <si>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</si>
  <si>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</si>
  <si>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</si>
  <si>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</si>
  <si>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</si>
  <si>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</si>
  <si>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</si>
  <si>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</si>
  <si>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</si>
  <si>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</si>
  <si>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</si>
  <si>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</si>
  <si>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</si>
  <si>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</si>
  <si>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</si>
  <si>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</si>
  <si>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</si>
  <si>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</si>
  <si>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</si>
  <si>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</si>
  <si>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</si>
  <si>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</si>
  <si>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</si>
  <si>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</si>
  <si>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</si>
  <si>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</si>
  <si>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</si>
  <si>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</si>
  <si>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</si>
  <si>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</si>
  <si>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</si>
  <si>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</si>
  <si>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</si>
  <si>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</si>
  <si>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</si>
  <si>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</si>
  <si>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</si>
  <si>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</si>
  <si>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</si>
  <si>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</si>
  <si>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</si>
  <si>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</si>
  <si>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</si>
  <si>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</si>
  <si>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</si>
  <si>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</si>
  <si>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</si>
  <si>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</si>
  <si>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</si>
  <si>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</si>
  <si>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</si>
  <si>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</si>
  <si>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</si>
  <si>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Debt + Market Cap</t>
  </si>
  <si>
    <t>Weight of Debt</t>
  </si>
  <si>
    <t>Weight of Equity</t>
  </si>
  <si>
    <t>WACC</t>
  </si>
  <si>
    <t>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</si>
</sst>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7">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3">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0" xfId="0" applyFont="1" applyFill="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 xfId="1" applyFont="1" applyFill="1" applyBorder="1" applyAlignment="1">
      <alignment horizontal="left" indent="1"/>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13" fillId="9" borderId="21" xfId="0" applyFont="1" applyFill="1" applyBorder="1" applyAlignment="1">
      <alignment horizontal="right" vertical="center" indent="1"/>
    </xf>
    <xf numFmtId="0" fontId="21" fillId="14" borderId="21" xfId="0" applyFont="1" applyFill="1" applyBorder="1" applyAlignment="1">
      <alignment horizontal="right" vertical="center" indent="1"/>
    </xf>
    <xf numFmtId="0" fontId="22" fillId="14" borderId="21" xfId="0" applyFont="1" applyFill="1" applyBorder="1" applyAlignment="1">
      <alignment horizontal="right" vertical="center" indent="1"/>
    </xf>
    <xf numFmtId="0" fontId="22" fillId="14" borderId="22" xfId="0" applyFont="1" applyFill="1" applyBorder="1" applyAlignment="1">
      <alignment horizontal="right" vertical="center" indent="1"/>
    </xf>
    <xf numFmtId="0" fontId="12" fillId="11" borderId="1" xfId="0" applyFont="1" applyFill="1" applyBorder="1" applyAlignment="1">
      <alignment horizontal="right" vertical="center"/>
    </xf>
    <xf numFmtId="0" fontId="1" fillId="11" borderId="0" xfId="0" applyFont="1" applyFill="1" applyAlignment="1">
      <alignment vertical="center"/>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0"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9" fontId="4" fillId="12" borderId="13" xfId="1" applyFont="1" applyFill="1" applyBorder="1" applyAlignment="1">
      <alignment vertical="center"/>
    </xf>
    <xf numFmtId="10" fontId="16" fillId="12" borderId="13" xfId="0" applyNumberFormat="1" applyFont="1" applyFill="1" applyBorder="1" applyAlignment="1">
      <alignmen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4" xfId="0" applyFont="1" applyFill="1" applyBorder="1" applyAlignment="1">
      <alignment horizontal="left" vertical="center" wrapText="1"/>
    </xf>
    <xf numFmtId="10" fontId="20" fillId="12" borderId="25" xfId="0" applyNumberFormat="1" applyFont="1" applyFill="1" applyBorder="1" applyAlignment="1">
      <alignment vertical="center"/>
    </xf>
    <xf numFmtId="9" fontId="13" fillId="10" borderId="24" xfId="1" applyFont="1" applyFill="1" applyBorder="1" applyAlignment="1">
      <alignment horizontal="left" vertical="center" indent="2"/>
    </xf>
    <xf numFmtId="9" fontId="4" fillId="10" borderId="26" xfId="1" applyFont="1" applyFill="1" applyBorder="1" applyAlignment="1">
      <alignment horizontal="right" vertical="center" indent="1"/>
    </xf>
    <xf numFmtId="9" fontId="4" fillId="10" borderId="24"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5" xfId="1" applyFont="1" applyFill="1" applyBorder="1" applyAlignment="1">
      <alignment vertical="center"/>
    </xf>
    <xf numFmtId="164" fontId="16" fillId="12" borderId="13" xfId="0" applyNumberFormat="1" applyFont="1" applyFill="1" applyBorder="1" applyAlignment="1">
      <alignment horizontal="right" vertical="center"/>
    </xf>
    <xf numFmtId="10" fontId="20" fillId="12" borderId="13" xfId="0" applyNumberFormat="1" applyFont="1" applyFill="1" applyBorder="1" applyAlignment="1">
      <alignment horizontal="right" vertical="center"/>
    </xf>
    <xf numFmtId="10" fontId="20" fillId="12" borderId="25" xfId="0" applyNumberFormat="1" applyFont="1" applyFill="1" applyBorder="1" applyAlignment="1">
      <alignment horizontal="right" vertical="center"/>
    </xf>
    <xf numFmtId="2" fontId="4" fillId="9" borderId="10" xfId="0" applyNumberFormat="1" applyFont="1" applyFill="1" applyBorder="1" applyAlignment="1">
      <alignment horizontal="right" vertical="center" indent="1"/>
    </xf>
    <xf numFmtId="9" fontId="12" fillId="10" borderId="11" xfId="1" applyFont="1" applyFill="1" applyBorder="1" applyAlignment="1">
      <alignment horizontal="left" vertical="center" indent="1"/>
    </xf>
    <xf numFmtId="0" fontId="17" fillId="9" borderId="20" xfId="0" applyFont="1" applyFill="1" applyBorder="1" applyAlignment="1">
      <alignment horizontal="left" vertical="center" indent="2"/>
    </xf>
    <xf numFmtId="0" fontId="12" fillId="11" borderId="0" xfId="0" applyFont="1" applyFill="1" applyAlignment="1">
      <alignment horizontal="left" vertical="center" wrapText="1" indent="3"/>
    </xf>
    <xf numFmtId="9" fontId="4" fillId="10" borderId="24" xfId="1" applyFont="1" applyFill="1" applyBorder="1" applyAlignment="1">
      <alignment horizontal="center" vertical="center"/>
    </xf>
    <xf numFmtId="9" fontId="4" fillId="10" borderId="25" xfId="1" applyFont="1" applyFill="1" applyBorder="1" applyAlignment="1">
      <alignment horizontal="center" vertical="center"/>
    </xf>
    <xf numFmtId="10" fontId="13" fillId="9" borderId="24" xfId="1" applyNumberFormat="1" applyFont="1" applyFill="1" applyBorder="1" applyAlignment="1">
      <alignment horizontal="center" vertical="center"/>
    </xf>
    <xf numFmtId="10" fontId="13" fillId="9" borderId="25"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4" fillId="11" borderId="0" xfId="0" applyFont="1" applyFill="1" applyAlignment="1">
      <alignment horizontal="left" vertical="center" wrapText="1" indent="3"/>
    </xf>
    <xf numFmtId="1" fontId="4" fillId="11" borderId="0" xfId="0" applyNumberFormat="1" applyFont="1" applyFill="1" applyAlignment="1">
      <alignment horizontal="left" vertical="center" indent="3"/>
    </xf>
    <xf numFmtId="0" fontId="4" fillId="11" borderId="0" xfId="0" applyFont="1" applyFill="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
  <rv s="0">
    <v>https://www.bing.com/financeapi/forcetrigger?t=a1pcnm&amp;q=XNYS%3aCCJ&amp;form=skydnc</v>
    <v>Learn more on Bing</v>
  </rv>
  <rv s="1">
    <v>0</v>
    <v>CAMECO CORPORATION (XNYS:CCJ)</v>
    <v>2</v>
    <v>3</v>
    <v>Finance</v>
    <v>4</v>
    <v>en-US</v>
    <v>a1pcnm</v>
    <v>268435456</v>
    <v>1</v>
    <v>Powered by Refinitiv</v>
    <v>46.76</v>
    <v>21.22</v>
    <v>0.90510000000000002</v>
    <v>0.85</v>
    <v>1.9222E-2</v>
    <v>0.01</v>
    <v>2.2179999999999997E-4</v>
    <v>USD</v>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v>2424</v>
    <v>New York Stock Exchange</v>
    <v>XNYS</v>
    <v>XNYS</v>
    <v>2121 11th St W, SASKATOON, SK, S7M 1J3 CA</v>
    <v>45.274999999999999</v>
    <v>Uranium</v>
    <v>Stock</v>
    <v>45268.993644745315</v>
    <v>0</v>
    <v>44.24</v>
    <v>26102770000</v>
    <v>CAMECO CORPORATION</v>
    <v>CAMECO CORPORATION</v>
    <v>44.35</v>
    <v>99.120800000000003</v>
    <v>44.22</v>
    <v>45.07</v>
    <v>45.1</v>
    <v>433865400</v>
    <v>CCJ</v>
    <v>CAMECO CORPORATION (XNYS:CCJ)</v>
    <v>3746420</v>
    <v>4555143</v>
    <v>1997</v>
  </rv>
  <rv s="2">
    <v>1</v>
  </rv>
  <rv s="3">
    <v>5</v>
    <v>USD/CAD</v>
    <v>6</v>
    <v>7</v>
    <v>Finance</v>
    <v>8</v>
    <v>en-US</v>
    <v>avylur</v>
    <v>268435456</v>
    <v>1</v>
    <v>Powered by Refinitiv</v>
    <v>1.3898999999999999</v>
    <v>1.3089999999999999</v>
    <v>-6.9999999999999999E-4</v>
    <v>-5.1489999999999999E-4</v>
    <v>CAD</v>
    <v>USD</v>
    <v>Currency Pair</v>
    <v>45268.916666666664</v>
    <v>US Dollar/Canadian Dollar FX Spot Rate</v>
    <v>1.3593999999999999</v>
    <v>1.3587</v>
    <v>USDCAD</v>
    <v>USD/CAD</v>
  </rv>
  <rv s="2">
    <v>3</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Instrument type" t="s"/>
    <k n="Last trade time"/>
    <k n="Name" t="s"/>
    <k n="Previous close"/>
    <k n="Price"/>
    <k n="Ticker symbol" t="s"/>
    <k n="UniqueName" t="s"/>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4">
      <v t="s">%EntityServiceId</v>
      <v t="s">_Format</v>
      <v t="s">%IsRefreshable</v>
      <v t="s">%EntityCulture</v>
      <v t="s">%EntityId</v>
      <v t="s">_Icon</v>
      <v t="s">_Display</v>
      <v t="s">Name</v>
      <v t="s">Price</v>
      <v t="s">_SubLabel</v>
      <v t="s">Last trade time</v>
      <v t="s">Ticker symbol</v>
      <v t="s">Change</v>
      <v t="s">Change (%)</v>
      <v t="s">Currency</v>
      <v t="s">From currency</v>
      <v t="s">Previous close</v>
      <v t="s">52 week high</v>
      <v t="s">52 week low</v>
      <v t="s">Instrument type</v>
      <v t="s">_Flags</v>
      <v t="s">UniqueName</v>
      <v t="s">_DisplayString</v>
      <v t="s">%ProviderInfo</v>
    </a>
  </spbArrays>
  <spbData count="9">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5">
      <v>1</v>
      <v>Name</v>
    </spb>
    <spb s="6">
      <v>1</v>
      <v>1</v>
    </spb>
    <spb s="7">
      <v>3</v>
      <v>10</v>
      <v>10</v>
      <v>5</v>
      <v>10</v>
      <v>10</v>
      <v>10</v>
      <v>7</v>
      <v>9</v>
    </spb>
    <spb s="8">
      <v>GMT</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Order" t="spba"/>
    <k n="TitleProperty" t="s"/>
  </s>
  <s>
    <k n="UniqueName" t="spb"/>
    <k n="`%ProviderInfo" t="spb"/>
  </s>
  <s>
    <k n="Name"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_([$$-en-CA]* #,##0_);_([$$-en-CA]* (#,##0);_([$$-en-CA]* "-"_);_(@_)</rpv>
    </rSty>
    <rSty dxfid="2"/>
    <rSty dxfid="6">
      <rpv i="0">0</rpv>
    </rSty>
    <rSty dxfid="0">
      <rpv i="0">0.00</rpv>
    </rSty>
    <rSty dxfid="1">
      <rpv i="0">_([$$-en-CA]* #,##0.00_);_([$$-en-CA]* (#,##0.00);_([$$-en-CA]*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CJ%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CCJ/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6"/>
  <sheetViews>
    <sheetView topLeftCell="A168" workbookViewId="0">
      <pane xSplit="1" topLeftCell="K1" activePane="topRight" state="frozen"/>
      <selection pane="topRight" activeCell="M188" sqref="M188:P188"/>
    </sheetView>
  </sheetViews>
  <sheetFormatPr baseColWidth="10" defaultRowHeight="15" x14ac:dyDescent="0.2"/>
  <cols>
    <col min="1" max="1" width="40.83203125" customWidth="1"/>
    <col min="2" max="22" width="15.83203125" customWidth="1"/>
  </cols>
  <sheetData>
    <row r="1" spans="1:21"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row>
    <row r="2" spans="1:21" ht="16" x14ac:dyDescent="0.2">
      <c r="A2" s="33" t="s">
        <v>20</v>
      </c>
      <c r="B2" s="31">
        <v>2859158572</v>
      </c>
      <c r="C2" s="31">
        <v>2314985000</v>
      </c>
      <c r="D2" s="31">
        <v>2123655000</v>
      </c>
      <c r="E2" s="31">
        <v>2384404000</v>
      </c>
      <c r="F2" s="31">
        <v>2321471000</v>
      </c>
      <c r="G2" s="31">
        <v>2438723000</v>
      </c>
      <c r="H2" s="31">
        <v>2397532000</v>
      </c>
      <c r="I2" s="31">
        <v>2754378000</v>
      </c>
      <c r="J2" s="31">
        <v>2431404000</v>
      </c>
      <c r="K2" s="31">
        <v>2156852000</v>
      </c>
      <c r="L2" s="31">
        <v>2091661000</v>
      </c>
      <c r="M2" s="31">
        <v>1862925000</v>
      </c>
      <c r="N2" s="31">
        <v>1800073000</v>
      </c>
      <c r="O2" s="31">
        <v>1474984000</v>
      </c>
      <c r="P2" s="31">
        <v>1868003000</v>
      </c>
      <c r="Q2" s="32">
        <v>2267770000</v>
      </c>
      <c r="R2" s="31">
        <v>523729000</v>
      </c>
      <c r="S2" s="31">
        <v>686975000</v>
      </c>
      <c r="T2" s="31">
        <v>481987000</v>
      </c>
      <c r="U2" s="31">
        <v>575079000</v>
      </c>
    </row>
    <row r="3" spans="1:21" ht="16" x14ac:dyDescent="0.2">
      <c r="A3" s="9" t="s">
        <v>193</v>
      </c>
      <c r="B3" s="10"/>
      <c r="C3" s="11">
        <f t="shared" ref="C3:M3" si="0">(C2/B2)-1</f>
        <v>-0.19032647483393939</v>
      </c>
      <c r="D3" s="11">
        <f t="shared" si="0"/>
        <v>-8.2648483683479546E-2</v>
      </c>
      <c r="E3" s="11">
        <f t="shared" si="0"/>
        <v>0.12278312626109233</v>
      </c>
      <c r="F3" s="11">
        <f t="shared" si="0"/>
        <v>-2.6393597729243878E-2</v>
      </c>
      <c r="G3" s="11">
        <f t="shared" si="0"/>
        <v>5.0507630722072427E-2</v>
      </c>
      <c r="H3" s="11">
        <f t="shared" si="0"/>
        <v>-1.6890397146375413E-2</v>
      </c>
      <c r="I3" s="11">
        <f t="shared" si="0"/>
        <v>0.14883888932452205</v>
      </c>
      <c r="J3" s="11"/>
      <c r="K3" s="11">
        <f t="shared" si="0"/>
        <v>-0.11291911998170601</v>
      </c>
      <c r="L3" s="11">
        <f t="shared" si="0"/>
        <v>-3.0225068757615214E-2</v>
      </c>
      <c r="M3" s="11">
        <f t="shared" si="0"/>
        <v>-0.1093561528373862</v>
      </c>
      <c r="N3" s="11">
        <f t="shared" ref="N3" si="1">(N2/M2)-1</f>
        <v>-3.3738341586483589E-2</v>
      </c>
      <c r="O3" s="11">
        <f t="shared" ref="O3" si="2">(O2/N2)-1</f>
        <v>-0.18059767576092745</v>
      </c>
      <c r="P3" s="11">
        <f t="shared" ref="P3" si="3">(P2/O2)-1</f>
        <v>0.26645644969708138</v>
      </c>
      <c r="Q3" s="11">
        <f t="shared" ref="Q3" si="4">(Q2/P2)-1</f>
        <v>0.21400768628315903</v>
      </c>
      <c r="R3" s="11"/>
      <c r="S3" s="11">
        <f t="shared" ref="S3" si="5">(S2/R2)-1</f>
        <v>0.31169937123970604</v>
      </c>
      <c r="T3" s="11">
        <f t="shared" ref="T3" si="6">(T2/S2)-1</f>
        <v>-0.2983922267913679</v>
      </c>
      <c r="U3" s="11">
        <f t="shared" ref="U3" si="7">(U2/T2)-1</f>
        <v>0.19314213868838781</v>
      </c>
    </row>
    <row r="4" spans="1:21" ht="16" x14ac:dyDescent="0.2">
      <c r="A4" s="3" t="s">
        <v>21</v>
      </c>
      <c r="B4" s="4">
        <v>2859158572</v>
      </c>
      <c r="C4" s="4">
        <v>2314985000</v>
      </c>
      <c r="D4" s="4">
        <v>2123655000</v>
      </c>
      <c r="E4" s="4">
        <v>2384404000</v>
      </c>
      <c r="F4" s="4">
        <v>2321471000</v>
      </c>
      <c r="G4" s="4">
        <v>2438723000</v>
      </c>
      <c r="H4" s="4">
        <v>2397532000</v>
      </c>
      <c r="I4" s="4">
        <v>2754378000</v>
      </c>
      <c r="J4" s="4">
        <v>2431404000</v>
      </c>
      <c r="K4" s="4">
        <v>2156852000</v>
      </c>
      <c r="L4" s="4">
        <v>2091661000</v>
      </c>
      <c r="M4" s="4">
        <v>1862925000</v>
      </c>
      <c r="N4" s="4">
        <v>1800073000</v>
      </c>
      <c r="O4" s="4">
        <v>1474984000</v>
      </c>
      <c r="P4" s="4">
        <v>1868003000</v>
      </c>
      <c r="Q4" s="5">
        <v>2267770000</v>
      </c>
      <c r="R4" s="4">
        <v>523729000</v>
      </c>
      <c r="S4" s="4">
        <v>686975000</v>
      </c>
      <c r="T4" s="4">
        <v>481987000</v>
      </c>
      <c r="U4" s="4">
        <v>575079000</v>
      </c>
    </row>
    <row r="5" spans="1:21" ht="16" x14ac:dyDescent="0.2">
      <c r="A5" s="3" t="s">
        <v>22</v>
      </c>
      <c r="B5" s="4">
        <v>1517759835</v>
      </c>
      <c r="C5" s="4">
        <v>1324278000</v>
      </c>
      <c r="D5" s="4">
        <v>1127879000</v>
      </c>
      <c r="E5" s="4">
        <v>1608284000</v>
      </c>
      <c r="F5" s="4">
        <v>1598207000</v>
      </c>
      <c r="G5" s="4">
        <v>1831994000</v>
      </c>
      <c r="H5" s="4">
        <v>1759751000</v>
      </c>
      <c r="I5" s="4">
        <v>2057333000</v>
      </c>
      <c r="J5" s="4">
        <v>1967924000</v>
      </c>
      <c r="K5" s="4">
        <v>1720578000</v>
      </c>
      <c r="L5" s="4">
        <v>1795913000</v>
      </c>
      <c r="M5" s="4">
        <v>1621300000</v>
      </c>
      <c r="N5" s="4">
        <v>1693624000</v>
      </c>
      <c r="O5" s="4">
        <v>1473050000</v>
      </c>
      <c r="P5" s="4">
        <v>1634712000</v>
      </c>
      <c r="Q5" s="5">
        <v>1773441000</v>
      </c>
      <c r="R5" s="4">
        <v>458343000</v>
      </c>
      <c r="S5" s="4">
        <v>519795000</v>
      </c>
      <c r="T5" s="4">
        <v>372014000</v>
      </c>
      <c r="U5" s="4">
        <v>423289000</v>
      </c>
    </row>
    <row r="6" spans="1:21" ht="16" x14ac:dyDescent="0.2">
      <c r="A6" s="3" t="s">
        <v>23</v>
      </c>
      <c r="B6" s="4">
        <v>1517759835</v>
      </c>
      <c r="C6" s="4">
        <v>1324278000</v>
      </c>
      <c r="D6" s="4">
        <v>1127879000</v>
      </c>
      <c r="E6" s="4">
        <v>1608284000</v>
      </c>
      <c r="F6" s="4">
        <v>1598207000</v>
      </c>
      <c r="G6" s="4">
        <v>1831994000</v>
      </c>
      <c r="H6" s="4">
        <v>1759751000</v>
      </c>
      <c r="I6" s="4">
        <v>2057333000</v>
      </c>
      <c r="J6" s="4">
        <v>1967924000</v>
      </c>
      <c r="K6" s="4">
        <v>1720578000</v>
      </c>
      <c r="L6" s="4">
        <v>1795913000</v>
      </c>
      <c r="M6" s="4">
        <v>1621300000</v>
      </c>
      <c r="N6" s="4">
        <v>1693624000</v>
      </c>
      <c r="O6" s="4">
        <v>1473050000</v>
      </c>
      <c r="P6" s="4">
        <v>1634712000</v>
      </c>
      <c r="Q6" s="5">
        <v>1773441000</v>
      </c>
      <c r="R6" s="4">
        <v>458343000</v>
      </c>
      <c r="S6" s="4">
        <v>519795000</v>
      </c>
      <c r="T6" s="4">
        <v>372014000</v>
      </c>
      <c r="U6" s="4">
        <v>423289000</v>
      </c>
    </row>
    <row r="7" spans="1:21" ht="16" x14ac:dyDescent="0.2">
      <c r="A7" s="33" t="s">
        <v>24</v>
      </c>
      <c r="B7" s="31">
        <v>1341398737</v>
      </c>
      <c r="C7" s="31">
        <v>990707000</v>
      </c>
      <c r="D7" s="31">
        <v>995776000</v>
      </c>
      <c r="E7" s="31">
        <v>776120000</v>
      </c>
      <c r="F7" s="31">
        <v>723264000</v>
      </c>
      <c r="G7" s="31">
        <v>606729000</v>
      </c>
      <c r="H7" s="31">
        <v>637781000</v>
      </c>
      <c r="I7" s="31">
        <v>697045000</v>
      </c>
      <c r="J7" s="31">
        <v>463480000</v>
      </c>
      <c r="K7" s="31">
        <v>436274000</v>
      </c>
      <c r="L7" s="31">
        <v>295748000</v>
      </c>
      <c r="M7" s="31">
        <v>241625000</v>
      </c>
      <c r="N7" s="31">
        <v>106449000</v>
      </c>
      <c r="O7" s="31">
        <v>1934000</v>
      </c>
      <c r="P7" s="31">
        <v>233291000</v>
      </c>
      <c r="Q7" s="32">
        <v>494329000</v>
      </c>
      <c r="R7" s="31">
        <v>65386000</v>
      </c>
      <c r="S7" s="31">
        <v>167180000</v>
      </c>
      <c r="T7" s="31">
        <v>109973000</v>
      </c>
      <c r="U7" s="31">
        <v>151790000</v>
      </c>
    </row>
    <row r="8" spans="1:21" ht="16" x14ac:dyDescent="0.2">
      <c r="A8" s="28" t="s">
        <v>60</v>
      </c>
      <c r="B8" s="29">
        <v>46.92</v>
      </c>
      <c r="C8" s="29">
        <v>42.8</v>
      </c>
      <c r="D8" s="29">
        <v>46.89</v>
      </c>
      <c r="E8" s="29">
        <v>32.549999999999997</v>
      </c>
      <c r="F8" s="29">
        <v>31.16</v>
      </c>
      <c r="G8" s="29">
        <v>24.88</v>
      </c>
      <c r="H8" s="29">
        <v>26.6</v>
      </c>
      <c r="I8" s="29">
        <v>25.31</v>
      </c>
      <c r="J8" s="29">
        <v>19.059999999999999</v>
      </c>
      <c r="K8" s="29">
        <v>20.23</v>
      </c>
      <c r="L8" s="29">
        <v>14.14</v>
      </c>
      <c r="M8" s="29">
        <v>12.97</v>
      </c>
      <c r="N8" s="29">
        <v>5.91</v>
      </c>
      <c r="O8" s="29">
        <v>0.13</v>
      </c>
      <c r="P8" s="29">
        <v>12.49</v>
      </c>
      <c r="Q8" s="30">
        <v>21.8</v>
      </c>
      <c r="R8" s="29">
        <v>12.48</v>
      </c>
      <c r="S8" s="29">
        <v>24.34</v>
      </c>
      <c r="T8" s="29">
        <v>22.82</v>
      </c>
      <c r="U8" s="29">
        <v>26.39</v>
      </c>
    </row>
    <row r="9" spans="1:21" ht="16" x14ac:dyDescent="0.2">
      <c r="A9" s="3" t="s">
        <v>25</v>
      </c>
      <c r="B9" s="4" t="s">
        <v>26</v>
      </c>
      <c r="C9" s="4" t="s">
        <v>26</v>
      </c>
      <c r="D9" s="4" t="s">
        <v>26</v>
      </c>
      <c r="E9" s="4" t="s">
        <v>26</v>
      </c>
      <c r="F9" s="4" t="s">
        <v>26</v>
      </c>
      <c r="G9" s="4" t="s">
        <v>26</v>
      </c>
      <c r="H9" s="4" t="s">
        <v>26</v>
      </c>
      <c r="I9" s="4" t="s">
        <v>26</v>
      </c>
      <c r="J9" s="4" t="s">
        <v>26</v>
      </c>
      <c r="K9" s="4" t="s">
        <v>26</v>
      </c>
      <c r="L9" s="4" t="s">
        <v>26</v>
      </c>
      <c r="M9" s="4" t="s">
        <v>26</v>
      </c>
      <c r="N9" s="4" t="s">
        <v>26</v>
      </c>
      <c r="O9" s="4" t="s">
        <v>26</v>
      </c>
      <c r="P9" s="4" t="s">
        <v>26</v>
      </c>
      <c r="Q9" s="5" t="s">
        <v>26</v>
      </c>
      <c r="R9" s="4" t="s">
        <v>26</v>
      </c>
      <c r="S9" s="4" t="s">
        <v>26</v>
      </c>
      <c r="T9" s="4" t="s">
        <v>26</v>
      </c>
      <c r="U9" s="4" t="s">
        <v>26</v>
      </c>
    </row>
    <row r="10" spans="1:21" ht="16" x14ac:dyDescent="0.2">
      <c r="A10" s="3" t="s">
        <v>27</v>
      </c>
      <c r="B10" s="4">
        <v>800029140</v>
      </c>
      <c r="C10" s="4">
        <v>397177000</v>
      </c>
      <c r="D10" s="4">
        <v>450817000</v>
      </c>
      <c r="E10" s="4">
        <v>262277000</v>
      </c>
      <c r="F10" s="4">
        <v>287718000</v>
      </c>
      <c r="G10" s="4">
        <v>265111000</v>
      </c>
      <c r="H10" s="4">
        <v>227994000</v>
      </c>
      <c r="I10" s="4">
        <v>233656000</v>
      </c>
      <c r="J10" s="4">
        <v>220108000</v>
      </c>
      <c r="K10" s="4">
        <v>198731000</v>
      </c>
      <c r="L10" s="4">
        <v>223208000</v>
      </c>
      <c r="M10" s="4">
        <v>147345000</v>
      </c>
      <c r="N10" s="4">
        <v>146756000</v>
      </c>
      <c r="O10" s="4">
        <v>113134000</v>
      </c>
      <c r="P10" s="4">
        <v>217726000</v>
      </c>
      <c r="Q10" s="5">
        <v>285836000</v>
      </c>
      <c r="R10" s="4">
        <v>122777000</v>
      </c>
      <c r="S10" s="4">
        <v>72475000</v>
      </c>
      <c r="T10" s="4">
        <v>74422000</v>
      </c>
      <c r="U10" s="4">
        <v>16162000</v>
      </c>
    </row>
    <row r="11" spans="1:21" ht="16" x14ac:dyDescent="0.2">
      <c r="A11" s="28" t="s">
        <v>28</v>
      </c>
      <c r="B11" s="31">
        <v>120789218</v>
      </c>
      <c r="C11" s="31">
        <v>135558000</v>
      </c>
      <c r="D11" s="31">
        <v>155810000</v>
      </c>
      <c r="E11" s="31">
        <v>161839000</v>
      </c>
      <c r="F11" s="31">
        <v>181248000</v>
      </c>
      <c r="G11" s="31">
        <v>184976000</v>
      </c>
      <c r="H11" s="31">
        <v>176385000</v>
      </c>
      <c r="I11" s="31">
        <v>186810000</v>
      </c>
      <c r="J11" s="31">
        <v>206652000</v>
      </c>
      <c r="K11" s="31">
        <v>163095000</v>
      </c>
      <c r="L11" s="31">
        <v>141552000</v>
      </c>
      <c r="M11" s="31">
        <v>124869000</v>
      </c>
      <c r="N11" s="31">
        <v>145344000</v>
      </c>
      <c r="O11" s="31">
        <v>127566000</v>
      </c>
      <c r="P11" s="31">
        <v>172029000</v>
      </c>
      <c r="Q11" s="32">
        <v>215830000</v>
      </c>
      <c r="R11" s="31">
        <v>29261000</v>
      </c>
      <c r="S11" s="31">
        <v>64011000</v>
      </c>
      <c r="T11" s="31">
        <v>57048000</v>
      </c>
      <c r="U11" s="31">
        <v>65510000</v>
      </c>
    </row>
    <row r="12" spans="1:21" ht="16" x14ac:dyDescent="0.2">
      <c r="A12" s="12" t="s">
        <v>194</v>
      </c>
      <c r="B12" s="11">
        <f t="shared" ref="B12:U12" si="8">B11/B2</f>
        <v>4.2246421441223932E-2</v>
      </c>
      <c r="C12" s="11">
        <f t="shared" si="8"/>
        <v>5.8556750907673268E-2</v>
      </c>
      <c r="D12" s="11">
        <f t="shared" si="8"/>
        <v>7.3368791070112613E-2</v>
      </c>
      <c r="E12" s="11">
        <f t="shared" si="8"/>
        <v>6.7873984442233776E-2</v>
      </c>
      <c r="F12" s="11">
        <f t="shared" si="8"/>
        <v>7.8074634574371166E-2</v>
      </c>
      <c r="G12" s="11">
        <f t="shared" si="8"/>
        <v>7.5849532726759039E-2</v>
      </c>
      <c r="H12" s="11">
        <f t="shared" si="8"/>
        <v>7.3569403870313299E-2</v>
      </c>
      <c r="I12" s="11">
        <f t="shared" si="8"/>
        <v>6.7822934978423441E-2</v>
      </c>
      <c r="J12" s="11">
        <f t="shared" si="8"/>
        <v>8.4992868318058204E-2</v>
      </c>
      <c r="K12" s="11">
        <f t="shared" si="8"/>
        <v>7.5617149438162654E-2</v>
      </c>
      <c r="L12" s="11">
        <f t="shared" si="8"/>
        <v>6.7674446289336554E-2</v>
      </c>
      <c r="M12" s="11">
        <f t="shared" si="8"/>
        <v>6.7028463303675664E-2</v>
      </c>
      <c r="N12" s="11">
        <f t="shared" si="8"/>
        <v>8.0743392073543682E-2</v>
      </c>
      <c r="O12" s="11">
        <f t="shared" si="8"/>
        <v>8.6486361885959442E-2</v>
      </c>
      <c r="P12" s="11">
        <f t="shared" si="8"/>
        <v>9.2092464519596601E-2</v>
      </c>
      <c r="Q12" s="11">
        <f t="shared" si="8"/>
        <v>9.5172790891492526E-2</v>
      </c>
      <c r="R12" s="11">
        <f t="shared" si="8"/>
        <v>5.5870497910178736E-2</v>
      </c>
      <c r="S12" s="11">
        <f t="shared" si="8"/>
        <v>9.3178063248298706E-2</v>
      </c>
      <c r="T12" s="11">
        <f t="shared" si="8"/>
        <v>0.11836003875623201</v>
      </c>
      <c r="U12" s="11">
        <f t="shared" si="8"/>
        <v>0.11391478388186667</v>
      </c>
    </row>
    <row r="13" spans="1:21" ht="16" x14ac:dyDescent="0.2">
      <c r="A13" s="28" t="s">
        <v>29</v>
      </c>
      <c r="B13" s="31">
        <v>4998000</v>
      </c>
      <c r="C13" s="31">
        <v>630000</v>
      </c>
      <c r="D13" s="31">
        <v>4794000</v>
      </c>
      <c r="E13" s="31">
        <v>100438000</v>
      </c>
      <c r="F13" s="31">
        <v>9301000</v>
      </c>
      <c r="G13" s="31">
        <v>7302000</v>
      </c>
      <c r="H13" s="31">
        <v>5044000</v>
      </c>
      <c r="I13" s="31">
        <v>6587000</v>
      </c>
      <c r="J13" s="31">
        <v>4952000</v>
      </c>
      <c r="K13" s="31">
        <v>5660000</v>
      </c>
      <c r="L13" s="31">
        <v>1757000</v>
      </c>
      <c r="M13" s="31">
        <v>6058000</v>
      </c>
      <c r="N13" s="31">
        <v>3965000</v>
      </c>
      <c r="O13" s="31">
        <v>7168000</v>
      </c>
      <c r="P13" s="31">
        <v>12175000</v>
      </c>
      <c r="Q13" s="32">
        <v>20068000</v>
      </c>
      <c r="R13" s="31">
        <v>2879000</v>
      </c>
      <c r="S13" s="31">
        <v>4232000</v>
      </c>
      <c r="T13" s="31">
        <v>5107000</v>
      </c>
      <c r="U13" s="31">
        <v>7850000</v>
      </c>
    </row>
    <row r="14" spans="1:21" ht="16" x14ac:dyDescent="0.2">
      <c r="A14" s="12" t="s">
        <v>195</v>
      </c>
      <c r="B14" s="11">
        <f t="shared" ref="B14:U14" si="9">B13/B2</f>
        <v>1.748066738566328E-3</v>
      </c>
      <c r="C14" s="11">
        <f t="shared" si="9"/>
        <v>2.7213999226776846E-4</v>
      </c>
      <c r="D14" s="11">
        <f t="shared" si="9"/>
        <v>2.2574288196529099E-3</v>
      </c>
      <c r="E14" s="11">
        <f t="shared" si="9"/>
        <v>4.2122895281168797E-2</v>
      </c>
      <c r="F14" s="11">
        <f t="shared" si="9"/>
        <v>4.0065113886841577E-3</v>
      </c>
      <c r="G14" s="11">
        <f t="shared" si="9"/>
        <v>2.9941899920573186E-3</v>
      </c>
      <c r="H14" s="11">
        <f t="shared" si="9"/>
        <v>2.103830105291608E-3</v>
      </c>
      <c r="I14" s="11">
        <f t="shared" si="9"/>
        <v>2.3914655141741622E-3</v>
      </c>
      <c r="J14" s="11">
        <f t="shared" si="9"/>
        <v>2.0366833319349644E-3</v>
      </c>
      <c r="K14" s="11">
        <f t="shared" si="9"/>
        <v>2.624194891443641E-3</v>
      </c>
      <c r="L14" s="11">
        <f t="shared" si="9"/>
        <v>8.4000227570337643E-4</v>
      </c>
      <c r="M14" s="11">
        <f t="shared" si="9"/>
        <v>3.2518754109800447E-3</v>
      </c>
      <c r="N14" s="11">
        <f t="shared" si="9"/>
        <v>2.2026884465241132E-3</v>
      </c>
      <c r="O14" s="11">
        <f t="shared" si="9"/>
        <v>4.859713732487946E-3</v>
      </c>
      <c r="P14" s="11">
        <f t="shared" si="9"/>
        <v>6.5176554855639951E-3</v>
      </c>
      <c r="Q14" s="11">
        <f t="shared" si="9"/>
        <v>8.849221922858138E-3</v>
      </c>
      <c r="R14" s="11">
        <f t="shared" si="9"/>
        <v>5.4971177841975525E-3</v>
      </c>
      <c r="S14" s="11">
        <f t="shared" si="9"/>
        <v>6.1603406237490449E-3</v>
      </c>
      <c r="T14" s="11">
        <f t="shared" si="9"/>
        <v>1.0595721461367216E-2</v>
      </c>
      <c r="U14" s="11">
        <f t="shared" si="9"/>
        <v>1.3650298480730473E-2</v>
      </c>
    </row>
    <row r="15" spans="1:21" ht="16" x14ac:dyDescent="0.2">
      <c r="A15" s="3" t="s">
        <v>30</v>
      </c>
      <c r="B15" s="4">
        <v>674241922</v>
      </c>
      <c r="C15" s="4">
        <v>260989000</v>
      </c>
      <c r="D15" s="4">
        <v>290213000</v>
      </c>
      <c r="E15" s="4" t="s">
        <v>26</v>
      </c>
      <c r="F15" s="4">
        <v>97169000</v>
      </c>
      <c r="G15" s="4">
        <v>72833000</v>
      </c>
      <c r="H15" s="4">
        <v>46565000</v>
      </c>
      <c r="I15" s="4">
        <v>40259000</v>
      </c>
      <c r="J15" s="4">
        <v>8504000</v>
      </c>
      <c r="K15" s="4">
        <v>29976000</v>
      </c>
      <c r="L15" s="4">
        <v>79899000</v>
      </c>
      <c r="M15" s="4">
        <v>16418000</v>
      </c>
      <c r="N15" s="4">
        <v>-2553000</v>
      </c>
      <c r="O15" s="4">
        <v>-21600000</v>
      </c>
      <c r="P15" s="4">
        <v>33522000</v>
      </c>
      <c r="Q15" s="5">
        <v>49938000</v>
      </c>
      <c r="R15" s="4">
        <v>90637000</v>
      </c>
      <c r="S15" s="4">
        <v>4232000</v>
      </c>
      <c r="T15" s="4">
        <v>12267000</v>
      </c>
      <c r="U15" s="4">
        <v>-57198000</v>
      </c>
    </row>
    <row r="16" spans="1:21" ht="16" x14ac:dyDescent="0.2">
      <c r="A16" s="33" t="s">
        <v>31</v>
      </c>
      <c r="B16" s="31">
        <v>541369597</v>
      </c>
      <c r="C16" s="31">
        <v>593530000</v>
      </c>
      <c r="D16" s="31">
        <v>544959000</v>
      </c>
      <c r="E16" s="31">
        <v>513843000</v>
      </c>
      <c r="F16" s="31">
        <v>435546000</v>
      </c>
      <c r="G16" s="31">
        <v>341618000</v>
      </c>
      <c r="H16" s="31">
        <v>409787000</v>
      </c>
      <c r="I16" s="31">
        <v>463389000</v>
      </c>
      <c r="J16" s="31">
        <v>243372000</v>
      </c>
      <c r="K16" s="31">
        <v>237543000</v>
      </c>
      <c r="L16" s="31">
        <v>72540000</v>
      </c>
      <c r="M16" s="31">
        <v>94280000</v>
      </c>
      <c r="N16" s="31">
        <v>-40307000</v>
      </c>
      <c r="O16" s="31">
        <v>-111200000</v>
      </c>
      <c r="P16" s="31">
        <v>15565000</v>
      </c>
      <c r="Q16" s="32">
        <v>208493000</v>
      </c>
      <c r="R16" s="31">
        <v>-57391000</v>
      </c>
      <c r="S16" s="31">
        <v>94705000</v>
      </c>
      <c r="T16" s="31">
        <v>35551000</v>
      </c>
      <c r="U16" s="31">
        <v>135628000</v>
      </c>
    </row>
    <row r="17" spans="1:21" ht="16" x14ac:dyDescent="0.2">
      <c r="A17" s="28" t="s">
        <v>61</v>
      </c>
      <c r="B17" s="29">
        <v>18.93</v>
      </c>
      <c r="C17" s="29">
        <v>25.64</v>
      </c>
      <c r="D17" s="29">
        <v>25.66</v>
      </c>
      <c r="E17" s="29">
        <v>21.55</v>
      </c>
      <c r="F17" s="29">
        <v>18.760000000000002</v>
      </c>
      <c r="G17" s="29">
        <v>14.01</v>
      </c>
      <c r="H17" s="29">
        <v>17.09</v>
      </c>
      <c r="I17" s="29">
        <v>16.82</v>
      </c>
      <c r="J17" s="29">
        <v>10.01</v>
      </c>
      <c r="K17" s="29">
        <v>11.01</v>
      </c>
      <c r="L17" s="29">
        <v>3.47</v>
      </c>
      <c r="M17" s="29">
        <v>5.0599999999999996</v>
      </c>
      <c r="N17" s="29">
        <v>-2.2400000000000002</v>
      </c>
      <c r="O17" s="29">
        <v>-7.54</v>
      </c>
      <c r="P17" s="29">
        <v>0.83</v>
      </c>
      <c r="Q17" s="30">
        <v>9.19</v>
      </c>
      <c r="R17" s="29">
        <v>-10.96</v>
      </c>
      <c r="S17" s="29">
        <v>13.79</v>
      </c>
      <c r="T17" s="29">
        <v>7.38</v>
      </c>
      <c r="U17" s="29">
        <v>23.58</v>
      </c>
    </row>
    <row r="18" spans="1:21" ht="16" x14ac:dyDescent="0.2">
      <c r="A18" s="13" t="s">
        <v>196</v>
      </c>
      <c r="B18" s="10"/>
      <c r="C18" s="11">
        <f>(C16/B16)-1</f>
        <v>9.6348969888680358E-2</v>
      </c>
      <c r="D18" s="11">
        <f>(D16/C16)-1</f>
        <v>-8.1834111165400181E-2</v>
      </c>
      <c r="E18" s="11">
        <f>(E16/D16)-1</f>
        <v>-5.7097873418000211E-2</v>
      </c>
      <c r="F18" s="11">
        <f t="shared" ref="F18:M18" si="10">(F16/E16)-1</f>
        <v>-0.15237533643544821</v>
      </c>
      <c r="G18" s="11">
        <f t="shared" si="10"/>
        <v>-0.21565575163128581</v>
      </c>
      <c r="H18" s="11">
        <f t="shared" si="10"/>
        <v>0.19954744773401867</v>
      </c>
      <c r="I18" s="11">
        <f t="shared" si="10"/>
        <v>0.13080453991951924</v>
      </c>
      <c r="J18" s="11"/>
      <c r="K18" s="11">
        <f t="shared" si="10"/>
        <v>-2.3950988610029089E-2</v>
      </c>
      <c r="L18" s="11">
        <f t="shared" si="10"/>
        <v>-0.69462371023351555</v>
      </c>
      <c r="M18" s="11">
        <f t="shared" si="10"/>
        <v>0.29969671905155781</v>
      </c>
      <c r="N18" s="11">
        <f t="shared" ref="N18" si="11">(N16/M16)-1</f>
        <v>-1.4275243954179042</v>
      </c>
      <c r="O18" s="11">
        <f t="shared" ref="O18" si="12">(O16/N16)-1</f>
        <v>1.7588260103704072</v>
      </c>
      <c r="P18" s="11">
        <f t="shared" ref="P18" si="13">(P16/O16)-1</f>
        <v>-1.1399730215827337</v>
      </c>
      <c r="Q18" s="11">
        <f t="shared" ref="Q18" si="14">(Q16/P16)-1</f>
        <v>12.394988756826212</v>
      </c>
      <c r="R18" s="11"/>
      <c r="S18" s="11">
        <f t="shared" ref="S18" si="15">(S16/R16)-1</f>
        <v>-2.6501716296980362</v>
      </c>
      <c r="T18" s="11">
        <f t="shared" ref="T18" si="16">(T16/S16)-1</f>
        <v>-0.6246132727944671</v>
      </c>
      <c r="U18" s="11">
        <f t="shared" ref="U18" si="17">(U16/T16)-1</f>
        <v>2.8150263002447189</v>
      </c>
    </row>
    <row r="19" spans="1:21" ht="16" x14ac:dyDescent="0.2">
      <c r="A19" s="3" t="s">
        <v>32</v>
      </c>
      <c r="B19" s="4">
        <v>56472802</v>
      </c>
      <c r="C19" s="4">
        <v>-173329000</v>
      </c>
      <c r="D19" s="4">
        <v>13311000</v>
      </c>
      <c r="E19" s="4">
        <v>63453000</v>
      </c>
      <c r="F19" s="4">
        <v>217339000</v>
      </c>
      <c r="G19" s="4">
        <v>113689000</v>
      </c>
      <c r="H19" s="4">
        <v>528885000</v>
      </c>
      <c r="I19" s="4">
        <v>542657000</v>
      </c>
      <c r="J19" s="4">
        <v>397606000</v>
      </c>
      <c r="K19" s="4">
        <v>444780000</v>
      </c>
      <c r="L19" s="4">
        <v>32611000</v>
      </c>
      <c r="M19" s="4">
        <v>-40738000</v>
      </c>
      <c r="N19" s="4">
        <v>-776000</v>
      </c>
      <c r="O19" s="4">
        <v>-7345000</v>
      </c>
      <c r="P19" s="4">
        <v>-69230000</v>
      </c>
      <c r="Q19" s="5">
        <v>-152123000</v>
      </c>
      <c r="R19" s="4">
        <v>-37458000</v>
      </c>
      <c r="S19" s="4">
        <v>-60163000</v>
      </c>
      <c r="T19" s="4">
        <v>-1500000</v>
      </c>
      <c r="U19" s="4">
        <v>-53002000</v>
      </c>
    </row>
    <row r="20" spans="1:21" ht="16" x14ac:dyDescent="0.2">
      <c r="A20" s="3" t="s">
        <v>33</v>
      </c>
      <c r="B20" s="4">
        <v>-69692000</v>
      </c>
      <c r="C20" s="4">
        <v>34129000</v>
      </c>
      <c r="D20" s="4">
        <v>2161000</v>
      </c>
      <c r="E20" s="4">
        <v>-24525000</v>
      </c>
      <c r="F20" s="4">
        <v>51613000</v>
      </c>
      <c r="G20" s="4">
        <v>76246000</v>
      </c>
      <c r="H20" s="4">
        <v>85785000</v>
      </c>
      <c r="I20" s="4">
        <v>91097000</v>
      </c>
      <c r="J20" s="4">
        <v>90667000</v>
      </c>
      <c r="K20" s="4">
        <v>89966000</v>
      </c>
      <c r="L20" s="4">
        <v>74649000</v>
      </c>
      <c r="M20" s="4">
        <v>54165000</v>
      </c>
      <c r="N20" s="4">
        <v>46908000</v>
      </c>
      <c r="O20" s="4">
        <v>53907000</v>
      </c>
      <c r="P20" s="4">
        <v>31539000</v>
      </c>
      <c r="Q20" s="5">
        <v>-37551000</v>
      </c>
      <c r="R20" s="4">
        <v>-2651000</v>
      </c>
      <c r="S20" s="4">
        <v>-7824000</v>
      </c>
      <c r="T20" s="4">
        <v>-12349000</v>
      </c>
      <c r="U20" s="4">
        <v>-14727000</v>
      </c>
    </row>
    <row r="21" spans="1:21" ht="16" x14ac:dyDescent="0.2">
      <c r="A21" s="3" t="s">
        <v>34</v>
      </c>
      <c r="B21" s="4">
        <v>-53327000</v>
      </c>
      <c r="C21" s="4">
        <v>40743000</v>
      </c>
      <c r="D21" s="4">
        <v>49882000</v>
      </c>
      <c r="E21" s="4">
        <v>22000</v>
      </c>
      <c r="F21" s="4">
        <v>72358000</v>
      </c>
      <c r="G21" s="4">
        <v>83213000</v>
      </c>
      <c r="H21" s="4">
        <v>93187000</v>
      </c>
      <c r="I21" s="4">
        <v>96514000</v>
      </c>
      <c r="J21" s="4">
        <v>95046000</v>
      </c>
      <c r="K21" s="4">
        <v>95231000</v>
      </c>
      <c r="L21" s="4">
        <v>96720000</v>
      </c>
      <c r="M21" s="4">
        <v>83925000</v>
      </c>
      <c r="N21" s="4">
        <v>57743000</v>
      </c>
      <c r="O21" s="4">
        <v>60711000</v>
      </c>
      <c r="P21" s="4">
        <v>69038000</v>
      </c>
      <c r="Q21" s="5">
        <v>76686000</v>
      </c>
      <c r="R21" s="4">
        <v>18962000</v>
      </c>
      <c r="S21" s="4">
        <v>19716000</v>
      </c>
      <c r="T21" s="4">
        <v>18749000</v>
      </c>
      <c r="U21" s="4">
        <v>19259000</v>
      </c>
    </row>
    <row r="22" spans="1:21" ht="16" x14ac:dyDescent="0.2">
      <c r="A22" s="3" t="s">
        <v>35</v>
      </c>
      <c r="B22" s="4">
        <v>16365000</v>
      </c>
      <c r="C22" s="4">
        <v>6614000</v>
      </c>
      <c r="D22" s="4">
        <v>47721000</v>
      </c>
      <c r="E22" s="4">
        <v>24547000</v>
      </c>
      <c r="F22" s="4">
        <v>20745000</v>
      </c>
      <c r="G22" s="4">
        <v>6967000</v>
      </c>
      <c r="H22" s="4">
        <v>7402000</v>
      </c>
      <c r="I22" s="4">
        <v>5417000</v>
      </c>
      <c r="J22" s="4">
        <v>4379000</v>
      </c>
      <c r="K22" s="4">
        <v>5265000</v>
      </c>
      <c r="L22" s="4">
        <v>22071000</v>
      </c>
      <c r="M22" s="4">
        <v>29760000</v>
      </c>
      <c r="N22" s="4">
        <v>10835000</v>
      </c>
      <c r="O22" s="4">
        <v>6804000</v>
      </c>
      <c r="P22" s="4">
        <v>37499000</v>
      </c>
      <c r="Q22" s="5">
        <v>114237000</v>
      </c>
      <c r="R22" s="4">
        <v>21613000</v>
      </c>
      <c r="S22" s="4">
        <v>27540000</v>
      </c>
      <c r="T22" s="4">
        <v>31098000</v>
      </c>
      <c r="U22" s="4">
        <v>33986000</v>
      </c>
    </row>
    <row r="23" spans="1:21" ht="16" x14ac:dyDescent="0.2">
      <c r="A23" s="3" t="s">
        <v>36</v>
      </c>
      <c r="B23" s="4">
        <v>126164802</v>
      </c>
      <c r="C23" s="4">
        <v>-207458000</v>
      </c>
      <c r="D23" s="4">
        <v>11150000</v>
      </c>
      <c r="E23" s="4">
        <v>87978000</v>
      </c>
      <c r="F23" s="4">
        <v>165726000</v>
      </c>
      <c r="G23" s="4">
        <v>37443000</v>
      </c>
      <c r="H23" s="4">
        <v>443100000</v>
      </c>
      <c r="I23" s="4">
        <v>451560000</v>
      </c>
      <c r="J23" s="4">
        <v>306939000</v>
      </c>
      <c r="K23" s="4">
        <v>354814000</v>
      </c>
      <c r="L23" s="4">
        <v>-42038000</v>
      </c>
      <c r="M23" s="4">
        <v>-94903000</v>
      </c>
      <c r="N23" s="4">
        <v>-47684000</v>
      </c>
      <c r="O23" s="4">
        <v>-61252000</v>
      </c>
      <c r="P23" s="4">
        <v>-100769000</v>
      </c>
      <c r="Q23" s="5">
        <v>-114572000</v>
      </c>
      <c r="R23" s="4">
        <v>-34807000</v>
      </c>
      <c r="S23" s="4">
        <v>-52339000</v>
      </c>
      <c r="T23" s="4">
        <v>10849000</v>
      </c>
      <c r="U23" s="4">
        <v>-38275000</v>
      </c>
    </row>
    <row r="24" spans="1:21" ht="16" x14ac:dyDescent="0.2">
      <c r="A24" s="3" t="s">
        <v>37</v>
      </c>
      <c r="B24" s="4">
        <v>484896795</v>
      </c>
      <c r="C24" s="4">
        <v>766859000</v>
      </c>
      <c r="D24" s="4">
        <v>531648000</v>
      </c>
      <c r="E24" s="4">
        <v>450390000</v>
      </c>
      <c r="F24" s="4">
        <v>218207000</v>
      </c>
      <c r="G24" s="4">
        <v>227929000</v>
      </c>
      <c r="H24" s="4">
        <v>-119098000</v>
      </c>
      <c r="I24" s="4">
        <v>-79268000</v>
      </c>
      <c r="J24" s="4">
        <v>-154234000</v>
      </c>
      <c r="K24" s="4">
        <v>-207237000</v>
      </c>
      <c r="L24" s="4">
        <v>39929000</v>
      </c>
      <c r="M24" s="4">
        <v>135018000</v>
      </c>
      <c r="N24" s="4">
        <v>-39531000</v>
      </c>
      <c r="O24" s="4">
        <v>-103855000</v>
      </c>
      <c r="P24" s="4">
        <v>84795000</v>
      </c>
      <c r="Q24" s="5">
        <v>360616000</v>
      </c>
      <c r="R24" s="4">
        <v>-19933000</v>
      </c>
      <c r="S24" s="4">
        <v>154868000</v>
      </c>
      <c r="T24" s="4">
        <v>37051000</v>
      </c>
      <c r="U24" s="4">
        <v>188630000</v>
      </c>
    </row>
    <row r="25" spans="1:21" ht="16" x14ac:dyDescent="0.2">
      <c r="A25" s="3" t="s">
        <v>38</v>
      </c>
      <c r="B25" s="4">
        <v>-24754735</v>
      </c>
      <c r="C25" s="4">
        <v>52897000</v>
      </c>
      <c r="D25" s="4">
        <v>27251000</v>
      </c>
      <c r="E25" s="4">
        <v>-24000</v>
      </c>
      <c r="F25" s="4">
        <v>-46376000</v>
      </c>
      <c r="G25" s="4">
        <v>-89758000</v>
      </c>
      <c r="H25" s="4">
        <v>-175268000</v>
      </c>
      <c r="I25" s="4">
        <v>-142630000</v>
      </c>
      <c r="J25" s="4">
        <v>-94355000</v>
      </c>
      <c r="K25" s="4">
        <v>-2519000</v>
      </c>
      <c r="L25" s="4">
        <v>-126306000</v>
      </c>
      <c r="M25" s="4">
        <v>61077000</v>
      </c>
      <c r="N25" s="4">
        <v>13666000</v>
      </c>
      <c r="O25" s="4">
        <v>-1201000</v>
      </c>
      <c r="P25" s="4">
        <v>-4469000</v>
      </c>
      <c r="Q25" s="5">
        <v>95315000</v>
      </c>
      <c r="R25" s="4">
        <v>-4510000</v>
      </c>
      <c r="S25" s="4">
        <v>35904000</v>
      </c>
      <c r="T25" s="4">
        <v>23358000</v>
      </c>
      <c r="U25" s="4">
        <v>40563000</v>
      </c>
    </row>
    <row r="26" spans="1:21" ht="16" x14ac:dyDescent="0.2">
      <c r="A26" s="3" t="s">
        <v>39</v>
      </c>
      <c r="B26" s="4" t="s">
        <v>26</v>
      </c>
      <c r="C26" s="4" t="s">
        <v>26</v>
      </c>
      <c r="D26" s="4" t="s">
        <v>26</v>
      </c>
      <c r="E26" s="4" t="s">
        <v>26</v>
      </c>
      <c r="F26" s="4" t="s">
        <v>26</v>
      </c>
      <c r="G26" s="4" t="s">
        <v>26</v>
      </c>
      <c r="H26" s="4" t="s">
        <v>26</v>
      </c>
      <c r="I26" s="4" t="s">
        <v>26</v>
      </c>
      <c r="J26" s="4" t="s">
        <v>26</v>
      </c>
      <c r="K26" s="4" t="s">
        <v>26</v>
      </c>
      <c r="L26" s="4" t="s">
        <v>26</v>
      </c>
      <c r="M26" s="4" t="s">
        <v>26</v>
      </c>
      <c r="N26" s="4" t="s">
        <v>26</v>
      </c>
      <c r="O26" s="4" t="s">
        <v>26</v>
      </c>
      <c r="P26" s="4" t="s">
        <v>26</v>
      </c>
      <c r="Q26" s="5" t="s">
        <v>26</v>
      </c>
      <c r="R26" s="4" t="s">
        <v>26</v>
      </c>
      <c r="S26" s="4" t="s">
        <v>26</v>
      </c>
      <c r="T26" s="4" t="s">
        <v>26</v>
      </c>
      <c r="U26" s="4" t="s">
        <v>26</v>
      </c>
    </row>
    <row r="27" spans="1:21" ht="16" x14ac:dyDescent="0.2">
      <c r="A27" s="3" t="s">
        <v>40</v>
      </c>
      <c r="B27" s="4">
        <v>450116561</v>
      </c>
      <c r="C27" s="4">
        <v>716997000</v>
      </c>
      <c r="D27" s="4">
        <v>542798000</v>
      </c>
      <c r="E27" s="4">
        <v>438635000</v>
      </c>
      <c r="F27" s="4">
        <v>264583000</v>
      </c>
      <c r="G27" s="4">
        <v>317687000</v>
      </c>
      <c r="H27" s="4">
        <v>56170000</v>
      </c>
      <c r="I27" s="4">
        <v>63362000</v>
      </c>
      <c r="J27" s="4">
        <v>-59879000</v>
      </c>
      <c r="K27" s="4">
        <v>-204718000</v>
      </c>
      <c r="L27" s="4">
        <v>166235000</v>
      </c>
      <c r="M27" s="4">
        <v>73941000</v>
      </c>
      <c r="N27" s="4">
        <v>-53197000</v>
      </c>
      <c r="O27" s="4">
        <v>-102654000</v>
      </c>
      <c r="P27" s="4">
        <v>89264000</v>
      </c>
      <c r="Q27" s="5">
        <v>265301000</v>
      </c>
      <c r="R27" s="4">
        <v>-15423000</v>
      </c>
      <c r="S27" s="4">
        <v>118964000</v>
      </c>
      <c r="T27" s="4">
        <v>13693000</v>
      </c>
      <c r="U27" s="4">
        <v>148067000</v>
      </c>
    </row>
    <row r="28" spans="1:21" ht="16" x14ac:dyDescent="0.2">
      <c r="A28" s="3" t="s">
        <v>41</v>
      </c>
      <c r="B28" s="4">
        <v>59534968</v>
      </c>
      <c r="C28" s="4">
        <v>-385460000</v>
      </c>
      <c r="D28" s="4">
        <v>17697000</v>
      </c>
      <c r="E28" s="4">
        <v>-23538000</v>
      </c>
      <c r="F28" s="4">
        <v>-3106000</v>
      </c>
      <c r="G28" s="4">
        <v>-1616000</v>
      </c>
      <c r="H28" s="4">
        <v>-130885000</v>
      </c>
      <c r="I28" s="4">
        <v>-3848000</v>
      </c>
      <c r="J28" s="4">
        <v>3464000</v>
      </c>
      <c r="K28" s="4">
        <v>448000</v>
      </c>
      <c r="L28" s="4">
        <v>-176000</v>
      </c>
      <c r="M28" s="4">
        <v>-118000</v>
      </c>
      <c r="N28" s="4">
        <v>-56000</v>
      </c>
      <c r="O28" s="4">
        <v>-154000</v>
      </c>
      <c r="P28" s="4">
        <v>-236000</v>
      </c>
      <c r="Q28" s="5">
        <v>-48000</v>
      </c>
      <c r="R28" s="4">
        <v>-12000</v>
      </c>
      <c r="S28" s="4">
        <v>-10000</v>
      </c>
      <c r="T28" s="4" t="s">
        <v>26</v>
      </c>
      <c r="U28" s="4">
        <v>-26000</v>
      </c>
    </row>
    <row r="29" spans="1:21" ht="16" x14ac:dyDescent="0.2">
      <c r="A29" s="3" t="s">
        <v>42</v>
      </c>
      <c r="B29" s="4">
        <v>83968000</v>
      </c>
      <c r="C29" s="4">
        <v>382425000</v>
      </c>
      <c r="D29" s="4" t="s">
        <v>26</v>
      </c>
      <c r="E29" s="4" t="s">
        <v>26</v>
      </c>
      <c r="F29" s="4" t="s">
        <v>26</v>
      </c>
      <c r="G29" s="4">
        <v>85321000</v>
      </c>
      <c r="H29" s="4">
        <v>127243000</v>
      </c>
      <c r="I29" s="4" t="s">
        <v>26</v>
      </c>
      <c r="J29" s="4" t="s">
        <v>26</v>
      </c>
      <c r="K29" s="4" t="s">
        <v>26</v>
      </c>
      <c r="L29" s="4" t="s">
        <v>26</v>
      </c>
      <c r="M29" s="4" t="s">
        <v>26</v>
      </c>
      <c r="N29" s="4" t="s">
        <v>26</v>
      </c>
      <c r="O29" s="4" t="s">
        <v>26</v>
      </c>
      <c r="P29" s="4" t="s">
        <v>26</v>
      </c>
      <c r="Q29" s="5" t="s">
        <v>26</v>
      </c>
      <c r="R29" s="4" t="s">
        <v>26</v>
      </c>
      <c r="S29" s="4" t="s">
        <v>26</v>
      </c>
      <c r="T29" s="4" t="s">
        <v>26</v>
      </c>
      <c r="U29" s="4" t="s">
        <v>26</v>
      </c>
    </row>
    <row r="30" spans="1:21" ht="16" x14ac:dyDescent="0.2">
      <c r="A30" s="3" t="s">
        <v>43</v>
      </c>
      <c r="B30" s="4">
        <v>-24433032</v>
      </c>
      <c r="C30" s="4">
        <v>-767885000</v>
      </c>
      <c r="D30" s="4">
        <v>17697000</v>
      </c>
      <c r="E30" s="4">
        <v>-23538000</v>
      </c>
      <c r="F30" s="4">
        <v>-3106000</v>
      </c>
      <c r="G30" s="4">
        <v>-86937000</v>
      </c>
      <c r="H30" s="4">
        <v>-258128000</v>
      </c>
      <c r="I30" s="4">
        <v>-3848000</v>
      </c>
      <c r="J30" s="4">
        <v>3464000</v>
      </c>
      <c r="K30" s="4">
        <v>448000</v>
      </c>
      <c r="L30" s="4">
        <v>-176000</v>
      </c>
      <c r="M30" s="4">
        <v>-118000</v>
      </c>
      <c r="N30" s="4">
        <v>-56000</v>
      </c>
      <c r="O30" s="4">
        <v>-154000</v>
      </c>
      <c r="P30" s="4">
        <v>-236000</v>
      </c>
      <c r="Q30" s="5">
        <v>-48000</v>
      </c>
      <c r="R30" s="4">
        <v>-12000</v>
      </c>
      <c r="S30" s="4">
        <v>-10000</v>
      </c>
      <c r="T30" s="4" t="s">
        <v>26</v>
      </c>
      <c r="U30" s="4">
        <v>-26000</v>
      </c>
    </row>
    <row r="31" spans="1:21" ht="16" x14ac:dyDescent="0.2">
      <c r="A31" s="3" t="s">
        <v>44</v>
      </c>
      <c r="B31" s="4">
        <v>390581593</v>
      </c>
      <c r="C31" s="4">
        <v>1102457000</v>
      </c>
      <c r="D31" s="4">
        <v>525101000</v>
      </c>
      <c r="E31" s="4">
        <v>462173000</v>
      </c>
      <c r="F31" s="4">
        <v>267689000</v>
      </c>
      <c r="G31" s="4">
        <v>319303000</v>
      </c>
      <c r="H31" s="4">
        <v>187055000</v>
      </c>
      <c r="I31" s="4">
        <v>67210000</v>
      </c>
      <c r="J31" s="4">
        <v>-63343000</v>
      </c>
      <c r="K31" s="4">
        <v>-205166000</v>
      </c>
      <c r="L31" s="4">
        <v>166411000</v>
      </c>
      <c r="M31" s="4">
        <v>74059000</v>
      </c>
      <c r="N31" s="4">
        <v>-53141000</v>
      </c>
      <c r="O31" s="4">
        <v>-102500000</v>
      </c>
      <c r="P31" s="4">
        <v>89500000</v>
      </c>
      <c r="Q31" s="5">
        <v>265349000</v>
      </c>
      <c r="R31" s="4">
        <v>-15411000</v>
      </c>
      <c r="S31" s="4">
        <v>118974000</v>
      </c>
      <c r="T31" s="4">
        <v>13693000</v>
      </c>
      <c r="U31" s="4">
        <v>148093000</v>
      </c>
    </row>
    <row r="32" spans="1:21" ht="16" x14ac:dyDescent="0.2">
      <c r="A32" s="3" t="s">
        <v>45</v>
      </c>
      <c r="B32" s="4">
        <v>-59534968</v>
      </c>
      <c r="C32" s="4">
        <v>3035000</v>
      </c>
      <c r="D32" s="4">
        <v>10352000</v>
      </c>
      <c r="E32" s="4">
        <v>11769000</v>
      </c>
      <c r="F32" s="4">
        <v>1553000</v>
      </c>
      <c r="G32" s="4">
        <v>808000</v>
      </c>
      <c r="H32" s="4">
        <v>1821000</v>
      </c>
      <c r="I32" s="4">
        <v>1924000</v>
      </c>
      <c r="J32" s="4">
        <v>-1732000</v>
      </c>
      <c r="K32" s="4">
        <v>-224000</v>
      </c>
      <c r="L32" s="4">
        <v>88000</v>
      </c>
      <c r="M32" s="4">
        <v>59000</v>
      </c>
      <c r="N32" s="4">
        <v>28000</v>
      </c>
      <c r="O32" s="4">
        <v>77000</v>
      </c>
      <c r="P32" s="4">
        <v>118000</v>
      </c>
      <c r="Q32" s="5">
        <v>24000</v>
      </c>
      <c r="R32" s="4">
        <v>6000</v>
      </c>
      <c r="S32" s="4">
        <v>5000</v>
      </c>
      <c r="T32" s="4" t="s">
        <v>26</v>
      </c>
      <c r="U32" s="4">
        <v>13000</v>
      </c>
    </row>
    <row r="33" spans="1:21" ht="16" x14ac:dyDescent="0.2">
      <c r="A33" s="33" t="s">
        <v>46</v>
      </c>
      <c r="B33" s="31">
        <v>450116561</v>
      </c>
      <c r="C33" s="31">
        <v>1099422000</v>
      </c>
      <c r="D33" s="31">
        <v>514749000</v>
      </c>
      <c r="E33" s="31">
        <v>450404000</v>
      </c>
      <c r="F33" s="31">
        <v>266136000</v>
      </c>
      <c r="G33" s="31">
        <v>318495000</v>
      </c>
      <c r="H33" s="31">
        <v>185234000</v>
      </c>
      <c r="I33" s="31">
        <v>65286000</v>
      </c>
      <c r="J33" s="31">
        <v>-61611000</v>
      </c>
      <c r="K33" s="31">
        <v>-204942000</v>
      </c>
      <c r="L33" s="31">
        <v>166323000</v>
      </c>
      <c r="M33" s="31">
        <v>74000000</v>
      </c>
      <c r="N33" s="31">
        <v>-53169000</v>
      </c>
      <c r="O33" s="31">
        <v>-102577000</v>
      </c>
      <c r="P33" s="31">
        <v>89382000</v>
      </c>
      <c r="Q33" s="32">
        <v>265325000</v>
      </c>
      <c r="R33" s="31">
        <v>-15417000</v>
      </c>
      <c r="S33" s="31">
        <v>118969000</v>
      </c>
      <c r="T33" s="31">
        <v>13693000</v>
      </c>
      <c r="U33" s="31">
        <v>148080000</v>
      </c>
    </row>
    <row r="34" spans="1:21" ht="16" x14ac:dyDescent="0.2">
      <c r="A34" s="28" t="s">
        <v>62</v>
      </c>
      <c r="B34" s="29">
        <v>15.74</v>
      </c>
      <c r="C34" s="29">
        <v>47.49</v>
      </c>
      <c r="D34" s="29">
        <v>24.24</v>
      </c>
      <c r="E34" s="29">
        <v>18.89</v>
      </c>
      <c r="F34" s="29">
        <v>11.46</v>
      </c>
      <c r="G34" s="29">
        <v>13.06</v>
      </c>
      <c r="H34" s="29">
        <v>7.73</v>
      </c>
      <c r="I34" s="29">
        <v>2.37</v>
      </c>
      <c r="J34" s="29">
        <v>-2.5299999999999998</v>
      </c>
      <c r="K34" s="29">
        <v>-9.5</v>
      </c>
      <c r="L34" s="29">
        <v>7.95</v>
      </c>
      <c r="M34" s="29">
        <v>3.97</v>
      </c>
      <c r="N34" s="29">
        <v>-2.95</v>
      </c>
      <c r="O34" s="29">
        <v>-6.95</v>
      </c>
      <c r="P34" s="29">
        <v>4.78</v>
      </c>
      <c r="Q34" s="30">
        <v>11.7</v>
      </c>
      <c r="R34" s="29">
        <v>-2.94</v>
      </c>
      <c r="S34" s="29">
        <v>17.32</v>
      </c>
      <c r="T34" s="29">
        <v>2.84</v>
      </c>
      <c r="U34" s="29">
        <v>25.75</v>
      </c>
    </row>
    <row r="35" spans="1:21" ht="16" x14ac:dyDescent="0.2">
      <c r="A35" s="14" t="s">
        <v>197</v>
      </c>
      <c r="B35" s="15"/>
      <c r="C35" s="16">
        <f>(C33/B33)-1</f>
        <v>1.4425273257164157</v>
      </c>
      <c r="D35" s="16">
        <f>(D33/C33)-1</f>
        <v>-0.53180034599998915</v>
      </c>
      <c r="E35" s="16">
        <f>(E33/D33)-1</f>
        <v>-0.1250026712048008</v>
      </c>
      <c r="F35" s="16">
        <f t="shared" ref="F35:M35" si="18">(F33/E33)-1</f>
        <v>-0.4091171481603183</v>
      </c>
      <c r="G35" s="16">
        <f t="shared" si="18"/>
        <v>0.19673775813869598</v>
      </c>
      <c r="H35" s="16">
        <f t="shared" si="18"/>
        <v>-0.41840845225199763</v>
      </c>
      <c r="I35" s="16">
        <f t="shared" si="18"/>
        <v>-0.64754850621376203</v>
      </c>
      <c r="J35" s="16"/>
      <c r="K35" s="16">
        <f t="shared" si="18"/>
        <v>2.3263865218873252</v>
      </c>
      <c r="L35" s="16">
        <f t="shared" si="18"/>
        <v>-1.8115613197880376</v>
      </c>
      <c r="M35" s="16">
        <f t="shared" si="18"/>
        <v>-0.55508258028053847</v>
      </c>
      <c r="N35" s="16">
        <f t="shared" ref="N35" si="19">(N33/M33)-1</f>
        <v>-1.7185000000000001</v>
      </c>
      <c r="O35" s="16">
        <f t="shared" ref="O35" si="20">(O33/N33)-1</f>
        <v>0.92926329252007744</v>
      </c>
      <c r="P35" s="16">
        <f t="shared" ref="P35" si="21">(P33/O33)-1</f>
        <v>-1.8713649258605729</v>
      </c>
      <c r="Q35" s="16">
        <f t="shared" ref="Q35" si="22">(Q33/P33)-1</f>
        <v>1.9684388355597324</v>
      </c>
      <c r="R35" s="16"/>
      <c r="S35" s="16">
        <f t="shared" ref="S35" si="23">(S33/R33)-1</f>
        <v>-8.7167412596484404</v>
      </c>
      <c r="T35" s="16">
        <f t="shared" ref="T35" si="24">(T33/S33)-1</f>
        <v>-0.88490278980238546</v>
      </c>
      <c r="U35" s="16">
        <f t="shared" ref="U35" si="25">(U33/T33)-1</f>
        <v>9.8142846709997809</v>
      </c>
    </row>
    <row r="36" spans="1:21" ht="16" x14ac:dyDescent="0.2">
      <c r="A36" s="17" t="s">
        <v>198</v>
      </c>
      <c r="B36" s="18">
        <f t="shared" ref="B36:U36" si="26">(B16*(1-0.25))/(B126+B105+B96)</f>
        <v>7.2413040432491554E-2</v>
      </c>
      <c r="C36" s="18">
        <f t="shared" si="26"/>
        <v>7.358890032123723E-2</v>
      </c>
      <c r="D36" s="18">
        <f t="shared" si="26"/>
        <v>6.3654431740806747E-2</v>
      </c>
      <c r="E36" s="18">
        <f t="shared" si="26"/>
        <v>6.2721780286909209E-2</v>
      </c>
      <c r="F36" s="18">
        <f t="shared" si="26"/>
        <v>5.0454720271349382E-2</v>
      </c>
      <c r="G36" s="18">
        <f t="shared" si="26"/>
        <v>3.8046426371050719E-2</v>
      </c>
      <c r="H36" s="18">
        <f t="shared" si="26"/>
        <v>4.4317254703026762E-2</v>
      </c>
      <c r="I36" s="18">
        <f t="shared" si="26"/>
        <v>4.9384150600865422E-2</v>
      </c>
      <c r="J36" s="18">
        <f t="shared" si="26"/>
        <v>2.7033904016007453E-2</v>
      </c>
      <c r="K36" s="18">
        <f t="shared" si="26"/>
        <v>2.803802408827015E-2</v>
      </c>
      <c r="L36" s="18">
        <f t="shared" si="26"/>
        <v>8.3838488284416895E-3</v>
      </c>
      <c r="M36" s="18">
        <f t="shared" si="26"/>
        <v>1.1801362589229968E-2</v>
      </c>
      <c r="N36" s="18">
        <f t="shared" si="26"/>
        <v>-5.055038935852036E-3</v>
      </c>
      <c r="O36" s="18">
        <f t="shared" si="26"/>
        <v>-1.4275400199033996E-2</v>
      </c>
      <c r="P36" s="18">
        <f t="shared" si="26"/>
        <v>1.7084207453024374E-3</v>
      </c>
      <c r="Q36" s="18">
        <f t="shared" si="26"/>
        <v>2.1997638313343826E-2</v>
      </c>
      <c r="R36" s="18">
        <f t="shared" si="26"/>
        <v>-6.2992595562898933E-3</v>
      </c>
      <c r="S36" s="18">
        <f t="shared" si="26"/>
        <v>1.02146024647782E-2</v>
      </c>
      <c r="T36" s="18">
        <f t="shared" si="26"/>
        <v>3.8245453383600036E-3</v>
      </c>
      <c r="U36" s="18">
        <f t="shared" si="26"/>
        <v>1.4309812267856457E-2</v>
      </c>
    </row>
    <row r="37" spans="1:21" ht="16" x14ac:dyDescent="0.2">
      <c r="A37" s="3" t="s">
        <v>47</v>
      </c>
      <c r="B37" s="4" t="s">
        <v>26</v>
      </c>
      <c r="C37" s="4" t="s">
        <v>26</v>
      </c>
      <c r="D37" s="4" t="s">
        <v>26</v>
      </c>
      <c r="E37" s="4" t="s">
        <v>26</v>
      </c>
      <c r="F37" s="4" t="s">
        <v>26</v>
      </c>
      <c r="G37" s="4" t="s">
        <v>26</v>
      </c>
      <c r="H37" s="4" t="s">
        <v>26</v>
      </c>
      <c r="I37" s="4" t="s">
        <v>26</v>
      </c>
      <c r="J37" s="4" t="s">
        <v>26</v>
      </c>
      <c r="K37" s="4" t="s">
        <v>26</v>
      </c>
      <c r="L37" s="4" t="s">
        <v>26</v>
      </c>
      <c r="M37" s="4" t="s">
        <v>26</v>
      </c>
      <c r="N37" s="4" t="s">
        <v>26</v>
      </c>
      <c r="O37" s="4" t="s">
        <v>26</v>
      </c>
      <c r="P37" s="4" t="s">
        <v>26</v>
      </c>
      <c r="Q37" s="5" t="s">
        <v>26</v>
      </c>
      <c r="R37" s="4" t="s">
        <v>26</v>
      </c>
      <c r="S37" s="4" t="s">
        <v>26</v>
      </c>
      <c r="T37" s="4" t="s">
        <v>26</v>
      </c>
      <c r="U37" s="4" t="s">
        <v>26</v>
      </c>
    </row>
    <row r="38" spans="1:21" ht="16" x14ac:dyDescent="0.2">
      <c r="A38" s="3" t="s">
        <v>48</v>
      </c>
      <c r="B38" s="4" t="s">
        <v>26</v>
      </c>
      <c r="C38" s="4" t="s">
        <v>26</v>
      </c>
      <c r="D38" s="4" t="s">
        <v>26</v>
      </c>
      <c r="E38" s="4" t="s">
        <v>26</v>
      </c>
      <c r="F38" s="4" t="s">
        <v>26</v>
      </c>
      <c r="G38" s="4" t="s">
        <v>26</v>
      </c>
      <c r="H38" s="4" t="s">
        <v>26</v>
      </c>
      <c r="I38" s="4" t="s">
        <v>26</v>
      </c>
      <c r="J38" s="4" t="s">
        <v>26</v>
      </c>
      <c r="K38" s="4" t="s">
        <v>26</v>
      </c>
      <c r="L38" s="4" t="s">
        <v>26</v>
      </c>
      <c r="M38" s="4" t="s">
        <v>26</v>
      </c>
      <c r="N38" s="4" t="s">
        <v>26</v>
      </c>
      <c r="O38" s="4" t="s">
        <v>26</v>
      </c>
      <c r="P38" s="4" t="s">
        <v>26</v>
      </c>
      <c r="Q38" s="5" t="s">
        <v>26</v>
      </c>
      <c r="R38" s="4" t="s">
        <v>26</v>
      </c>
      <c r="S38" s="4" t="s">
        <v>26</v>
      </c>
      <c r="T38" s="4" t="s">
        <v>26</v>
      </c>
      <c r="U38" s="4" t="s">
        <v>26</v>
      </c>
    </row>
    <row r="39" spans="1:21" ht="16" x14ac:dyDescent="0.2">
      <c r="A39" s="3" t="s">
        <v>49</v>
      </c>
      <c r="B39" s="4">
        <v>450116561</v>
      </c>
      <c r="C39" s="4">
        <v>1099422000</v>
      </c>
      <c r="D39" s="4">
        <v>514749000</v>
      </c>
      <c r="E39" s="4">
        <v>450404000</v>
      </c>
      <c r="F39" s="4">
        <v>266136000</v>
      </c>
      <c r="G39" s="4">
        <v>318495000</v>
      </c>
      <c r="H39" s="4">
        <v>185234000</v>
      </c>
      <c r="I39" s="4">
        <v>65286000</v>
      </c>
      <c r="J39" s="4">
        <v>-61611000</v>
      </c>
      <c r="K39" s="4">
        <v>-204942000</v>
      </c>
      <c r="L39" s="4">
        <v>166323000</v>
      </c>
      <c r="M39" s="4">
        <v>74000000</v>
      </c>
      <c r="N39" s="4">
        <v>-53169000</v>
      </c>
      <c r="O39" s="4">
        <v>-102577000</v>
      </c>
      <c r="P39" s="4">
        <v>89382000</v>
      </c>
      <c r="Q39" s="5">
        <v>265325000</v>
      </c>
      <c r="R39" s="4">
        <v>-15417000</v>
      </c>
      <c r="S39" s="4">
        <v>118969000</v>
      </c>
      <c r="T39" s="4">
        <v>13693000</v>
      </c>
      <c r="U39" s="4">
        <v>148080000</v>
      </c>
    </row>
    <row r="40" spans="1:21" ht="16" x14ac:dyDescent="0.2">
      <c r="A40" s="3" t="s">
        <v>50</v>
      </c>
      <c r="B40" s="4">
        <v>350130000</v>
      </c>
      <c r="C40" s="4">
        <v>387956000</v>
      </c>
      <c r="D40" s="4">
        <v>393169000</v>
      </c>
      <c r="E40" s="4">
        <v>394662000</v>
      </c>
      <c r="F40" s="4">
        <v>395234000</v>
      </c>
      <c r="G40" s="4">
        <v>395428000</v>
      </c>
      <c r="H40" s="4">
        <v>395740000</v>
      </c>
      <c r="I40" s="4">
        <v>395793000</v>
      </c>
      <c r="J40" s="4">
        <v>395793000</v>
      </c>
      <c r="K40" s="4">
        <v>395793000</v>
      </c>
      <c r="L40" s="4">
        <v>395793000</v>
      </c>
      <c r="M40" s="4">
        <v>395797000</v>
      </c>
      <c r="N40" s="4">
        <v>395829000</v>
      </c>
      <c r="O40" s="4">
        <v>397631000</v>
      </c>
      <c r="P40" s="4">
        <v>405494000</v>
      </c>
      <c r="Q40" s="5">
        <v>431585500</v>
      </c>
      <c r="R40" s="4">
        <v>426809000</v>
      </c>
      <c r="S40" s="4">
        <v>432850000</v>
      </c>
      <c r="T40" s="4">
        <v>433096000</v>
      </c>
      <c r="U40" s="4">
        <v>433587000</v>
      </c>
    </row>
    <row r="41" spans="1:21" ht="16" x14ac:dyDescent="0.2">
      <c r="A41" s="3" t="s">
        <v>51</v>
      </c>
      <c r="B41" s="6">
        <v>1.29</v>
      </c>
      <c r="C41" s="6">
        <v>2.83</v>
      </c>
      <c r="D41" s="6">
        <v>1.31</v>
      </c>
      <c r="E41" s="6">
        <v>1.1399999999999999</v>
      </c>
      <c r="F41" s="6">
        <v>0.67</v>
      </c>
      <c r="G41" s="6">
        <v>0.81</v>
      </c>
      <c r="H41" s="6">
        <v>0.47</v>
      </c>
      <c r="I41" s="6">
        <v>0.16</v>
      </c>
      <c r="J41" s="6">
        <v>-0.16</v>
      </c>
      <c r="K41" s="6">
        <v>-0.52</v>
      </c>
      <c r="L41" s="6">
        <v>0.42</v>
      </c>
      <c r="M41" s="6">
        <v>0.19</v>
      </c>
      <c r="N41" s="6">
        <v>-0.13</v>
      </c>
      <c r="O41" s="6">
        <v>-0.26</v>
      </c>
      <c r="P41" s="6">
        <v>0.22</v>
      </c>
      <c r="Q41" s="7">
        <v>0.61</v>
      </c>
      <c r="R41" s="6">
        <v>-0.04</v>
      </c>
      <c r="S41" s="6">
        <v>0.27</v>
      </c>
      <c r="T41" s="6">
        <v>0.03</v>
      </c>
      <c r="U41" s="6">
        <v>0.34</v>
      </c>
    </row>
    <row r="42" spans="1:21" ht="16" x14ac:dyDescent="0.2">
      <c r="A42" s="3" t="s">
        <v>52</v>
      </c>
      <c r="B42" s="6">
        <v>1.29</v>
      </c>
      <c r="C42" s="6">
        <v>1.85</v>
      </c>
      <c r="D42" s="6">
        <v>1.38</v>
      </c>
      <c r="E42" s="6">
        <v>1.1100000000000001</v>
      </c>
      <c r="F42" s="6">
        <v>0.67</v>
      </c>
      <c r="G42" s="6">
        <v>0.8</v>
      </c>
      <c r="H42" s="6">
        <v>0.14000000000000001</v>
      </c>
      <c r="I42" s="6">
        <v>0.16</v>
      </c>
      <c r="J42" s="6">
        <v>-0.15</v>
      </c>
      <c r="K42" s="6">
        <v>-0.52</v>
      </c>
      <c r="L42" s="6">
        <v>0.42</v>
      </c>
      <c r="M42" s="6">
        <v>0.19</v>
      </c>
      <c r="N42" s="6">
        <v>-0.13</v>
      </c>
      <c r="O42" s="6">
        <v>-0.26</v>
      </c>
      <c r="P42" s="6">
        <v>0.22</v>
      </c>
      <c r="Q42" s="7">
        <v>0.61</v>
      </c>
      <c r="R42" s="6">
        <v>-0.04</v>
      </c>
      <c r="S42" s="6">
        <v>0.27</v>
      </c>
      <c r="T42" s="6">
        <v>0.03</v>
      </c>
      <c r="U42" s="6">
        <v>0.34</v>
      </c>
    </row>
    <row r="43" spans="1:21" ht="16" x14ac:dyDescent="0.2">
      <c r="A43" s="3" t="s">
        <v>53</v>
      </c>
      <c r="B43" s="4">
        <v>352112000</v>
      </c>
      <c r="C43" s="4">
        <v>389933000</v>
      </c>
      <c r="D43" s="4">
        <v>395019000</v>
      </c>
      <c r="E43" s="4">
        <v>395479000</v>
      </c>
      <c r="F43" s="4">
        <v>395839000</v>
      </c>
      <c r="G43" s="4">
        <v>395554000</v>
      </c>
      <c r="H43" s="4">
        <v>396055000</v>
      </c>
      <c r="I43" s="4">
        <v>395793000</v>
      </c>
      <c r="J43" s="4">
        <v>395793000</v>
      </c>
      <c r="K43" s="4">
        <v>395793000</v>
      </c>
      <c r="L43" s="4">
        <v>396050000</v>
      </c>
      <c r="M43" s="4">
        <v>396055000</v>
      </c>
      <c r="N43" s="4">
        <v>395829000</v>
      </c>
      <c r="O43" s="4">
        <v>397631000</v>
      </c>
      <c r="P43" s="4">
        <v>407135000</v>
      </c>
      <c r="Q43" s="5">
        <v>433191250</v>
      </c>
      <c r="R43" s="4">
        <v>428456000</v>
      </c>
      <c r="S43" s="4">
        <v>434557000</v>
      </c>
      <c r="T43" s="4">
        <v>434618000</v>
      </c>
      <c r="U43" s="4">
        <v>435134000</v>
      </c>
    </row>
    <row r="44" spans="1:21" ht="16" x14ac:dyDescent="0.2">
      <c r="A44" s="3" t="s">
        <v>54</v>
      </c>
      <c r="B44" s="6">
        <v>1.28</v>
      </c>
      <c r="C44" s="6">
        <v>2.82</v>
      </c>
      <c r="D44" s="6">
        <v>1.3</v>
      </c>
      <c r="E44" s="6">
        <v>1.1399999999999999</v>
      </c>
      <c r="F44" s="6">
        <v>0.67</v>
      </c>
      <c r="G44" s="6">
        <v>0.81</v>
      </c>
      <c r="H44" s="6">
        <v>0.47</v>
      </c>
      <c r="I44" s="6">
        <v>0.16</v>
      </c>
      <c r="J44" s="6">
        <v>-0.16</v>
      </c>
      <c r="K44" s="6">
        <v>-0.52</v>
      </c>
      <c r="L44" s="6">
        <v>0.42</v>
      </c>
      <c r="M44" s="6">
        <v>0.19</v>
      </c>
      <c r="N44" s="6">
        <v>-0.13</v>
      </c>
      <c r="O44" s="6">
        <v>-0.26</v>
      </c>
      <c r="P44" s="6">
        <v>0.22</v>
      </c>
      <c r="Q44" s="7">
        <v>0.61</v>
      </c>
      <c r="R44" s="6">
        <v>-0.04</v>
      </c>
      <c r="S44" s="6">
        <v>0.27</v>
      </c>
      <c r="T44" s="6">
        <v>0.03</v>
      </c>
      <c r="U44" s="6">
        <v>0.34</v>
      </c>
    </row>
    <row r="45" spans="1:21" ht="16" x14ac:dyDescent="0.2">
      <c r="A45" s="3" t="s">
        <v>55</v>
      </c>
      <c r="B45" s="6">
        <v>1.28</v>
      </c>
      <c r="C45" s="6">
        <v>1.84</v>
      </c>
      <c r="D45" s="6">
        <v>1.37</v>
      </c>
      <c r="E45" s="6">
        <v>1.1100000000000001</v>
      </c>
      <c r="F45" s="6">
        <v>0.67</v>
      </c>
      <c r="G45" s="6">
        <v>0.8</v>
      </c>
      <c r="H45" s="6">
        <v>0.14000000000000001</v>
      </c>
      <c r="I45" s="6">
        <v>0.16</v>
      </c>
      <c r="J45" s="6">
        <v>-0.15</v>
      </c>
      <c r="K45" s="6">
        <v>-0.52</v>
      </c>
      <c r="L45" s="6">
        <v>0.42</v>
      </c>
      <c r="M45" s="6">
        <v>0.19</v>
      </c>
      <c r="N45" s="6">
        <v>-0.13</v>
      </c>
      <c r="O45" s="6">
        <v>-0.26</v>
      </c>
      <c r="P45" s="6">
        <v>0.22</v>
      </c>
      <c r="Q45" s="7">
        <v>0.61</v>
      </c>
      <c r="R45" s="6">
        <v>-0.04</v>
      </c>
      <c r="S45" s="6">
        <v>0.27</v>
      </c>
      <c r="T45" s="6">
        <v>0.03</v>
      </c>
      <c r="U45" s="6">
        <v>0.34</v>
      </c>
    </row>
    <row r="46" spans="1:21" ht="16" x14ac:dyDescent="0.2">
      <c r="A46" s="3" t="s">
        <v>56</v>
      </c>
      <c r="B46" s="4">
        <v>834684313</v>
      </c>
      <c r="C46" s="4">
        <v>834173000</v>
      </c>
      <c r="D46" s="4">
        <v>796506000</v>
      </c>
      <c r="E46" s="4">
        <v>788678000</v>
      </c>
      <c r="F46" s="4">
        <v>728975000</v>
      </c>
      <c r="G46" s="4">
        <v>624374000</v>
      </c>
      <c r="H46" s="4">
        <v>748770000</v>
      </c>
      <c r="I46" s="4">
        <v>775907000</v>
      </c>
      <c r="J46" s="4">
        <v>615061000</v>
      </c>
      <c r="K46" s="4">
        <v>567888000</v>
      </c>
      <c r="L46" s="4">
        <v>400513000</v>
      </c>
      <c r="M46" s="4">
        <v>370029000</v>
      </c>
      <c r="N46" s="4">
        <v>168355000</v>
      </c>
      <c r="O46" s="4">
        <v>79215000</v>
      </c>
      <c r="P46" s="4">
        <v>192941000</v>
      </c>
      <c r="Q46" s="5">
        <v>410709000</v>
      </c>
      <c r="R46" s="4">
        <v>-29387000</v>
      </c>
      <c r="S46" s="4">
        <v>171078000</v>
      </c>
      <c r="T46" s="4">
        <v>77403000</v>
      </c>
      <c r="U46" s="4">
        <v>191615000</v>
      </c>
    </row>
    <row r="47" spans="1:21" ht="16" x14ac:dyDescent="0.2">
      <c r="A47" s="3" t="s">
        <v>57</v>
      </c>
      <c r="B47" s="6">
        <v>29.19</v>
      </c>
      <c r="C47" s="6">
        <v>36.03</v>
      </c>
      <c r="D47" s="6">
        <v>37.51</v>
      </c>
      <c r="E47" s="6">
        <v>33.08</v>
      </c>
      <c r="F47" s="6">
        <v>31.4</v>
      </c>
      <c r="G47" s="6">
        <v>25.6</v>
      </c>
      <c r="H47" s="6">
        <v>31.23</v>
      </c>
      <c r="I47" s="6">
        <v>28.17</v>
      </c>
      <c r="J47" s="6">
        <v>25.3</v>
      </c>
      <c r="K47" s="6">
        <v>26.33</v>
      </c>
      <c r="L47" s="6">
        <v>19.149999999999999</v>
      </c>
      <c r="M47" s="6">
        <v>19.86</v>
      </c>
      <c r="N47" s="6">
        <v>9.35</v>
      </c>
      <c r="O47" s="6">
        <v>5.37</v>
      </c>
      <c r="P47" s="6">
        <v>10.33</v>
      </c>
      <c r="Q47" s="7">
        <v>18.11</v>
      </c>
      <c r="R47" s="6">
        <v>10.33</v>
      </c>
      <c r="S47" s="6">
        <v>14.69</v>
      </c>
      <c r="T47" s="6">
        <v>11.96</v>
      </c>
      <c r="U47" s="6">
        <v>18.11</v>
      </c>
    </row>
    <row r="48" spans="1:21" ht="16" x14ac:dyDescent="0.2">
      <c r="A48" s="3" t="s">
        <v>58</v>
      </c>
      <c r="B48" s="4">
        <v>541369597</v>
      </c>
      <c r="C48" s="4">
        <v>593530000</v>
      </c>
      <c r="D48" s="4">
        <v>544959000</v>
      </c>
      <c r="E48" s="4">
        <v>513843000</v>
      </c>
      <c r="F48" s="4">
        <v>435546000</v>
      </c>
      <c r="G48" s="4">
        <v>341618000</v>
      </c>
      <c r="H48" s="4">
        <v>409787000</v>
      </c>
      <c r="I48" s="4">
        <v>463389000</v>
      </c>
      <c r="J48" s="4">
        <v>243372000</v>
      </c>
      <c r="K48" s="4">
        <v>237543000</v>
      </c>
      <c r="L48" s="4">
        <v>72540000</v>
      </c>
      <c r="M48" s="4">
        <v>94280000</v>
      </c>
      <c r="N48" s="4">
        <v>-40307000</v>
      </c>
      <c r="O48" s="4">
        <v>-111200000</v>
      </c>
      <c r="P48" s="4">
        <v>15565000</v>
      </c>
      <c r="Q48" s="5">
        <v>208493000</v>
      </c>
      <c r="R48" s="4">
        <v>-57391000</v>
      </c>
      <c r="S48" s="4">
        <v>94705000</v>
      </c>
      <c r="T48" s="4">
        <v>35551000</v>
      </c>
      <c r="U48" s="4">
        <v>135628000</v>
      </c>
    </row>
    <row r="49" spans="1:21" ht="16" x14ac:dyDescent="0.2">
      <c r="A49" s="3" t="s">
        <v>59</v>
      </c>
      <c r="B49" s="4">
        <v>541369597</v>
      </c>
      <c r="C49" s="4">
        <v>593530000</v>
      </c>
      <c r="D49" s="4">
        <v>544959000</v>
      </c>
      <c r="E49" s="4">
        <v>513843000</v>
      </c>
      <c r="F49" s="4">
        <v>435546000</v>
      </c>
      <c r="G49" s="4">
        <v>341618000</v>
      </c>
      <c r="H49" s="4">
        <v>409787000</v>
      </c>
      <c r="I49" s="4">
        <v>463389000</v>
      </c>
      <c r="J49" s="4">
        <v>243372000</v>
      </c>
      <c r="K49" s="4">
        <v>237543000</v>
      </c>
      <c r="L49" s="4">
        <v>72540000</v>
      </c>
      <c r="M49" s="4">
        <v>94280000</v>
      </c>
      <c r="N49" s="4">
        <v>-40307000</v>
      </c>
      <c r="O49" s="4">
        <v>-111200000</v>
      </c>
      <c r="P49" s="4">
        <v>15565000</v>
      </c>
      <c r="Q49" s="5">
        <v>208493000</v>
      </c>
      <c r="R49" s="4">
        <v>-57391000</v>
      </c>
      <c r="S49" s="4">
        <v>94705000</v>
      </c>
      <c r="T49" s="4">
        <v>35551000</v>
      </c>
      <c r="U49" s="4">
        <v>135628000</v>
      </c>
    </row>
    <row r="50" spans="1:21" ht="16" x14ac:dyDescent="0.2">
      <c r="A50" s="3" t="s">
        <v>63</v>
      </c>
      <c r="B50" s="4">
        <v>929203</v>
      </c>
      <c r="C50" s="4">
        <v>771662</v>
      </c>
      <c r="D50" s="4">
        <v>643532</v>
      </c>
      <c r="E50" s="4">
        <v>687148</v>
      </c>
      <c r="F50" s="4">
        <v>556574</v>
      </c>
      <c r="G50" s="4">
        <v>629673</v>
      </c>
      <c r="H50" s="4">
        <v>604979</v>
      </c>
      <c r="I50" s="4">
        <v>687735</v>
      </c>
      <c r="J50" s="4">
        <v>679163</v>
      </c>
      <c r="K50" s="4">
        <v>823226</v>
      </c>
      <c r="L50" s="4">
        <v>1102615</v>
      </c>
      <c r="M50" s="4">
        <v>1021340</v>
      </c>
      <c r="N50" s="4">
        <v>932197</v>
      </c>
      <c r="O50" s="4">
        <v>704050</v>
      </c>
      <c r="P50" s="4">
        <v>770628</v>
      </c>
      <c r="Q50" s="5">
        <v>935549</v>
      </c>
      <c r="R50" s="4">
        <v>216060</v>
      </c>
      <c r="S50" s="4">
        <v>283406</v>
      </c>
      <c r="T50" s="4">
        <v>198840</v>
      </c>
      <c r="U50" s="4">
        <v>237244</v>
      </c>
    </row>
    <row r="51" spans="1:21" ht="16" x14ac:dyDescent="0.2">
      <c r="A51" s="3" t="s">
        <v>64</v>
      </c>
      <c r="B51" s="6">
        <v>0.23</v>
      </c>
      <c r="C51" s="6">
        <v>0.24</v>
      </c>
      <c r="D51" s="6">
        <v>0.27</v>
      </c>
      <c r="E51" s="6">
        <v>0.37</v>
      </c>
      <c r="F51" s="6">
        <v>0.4</v>
      </c>
      <c r="G51" s="6">
        <v>0.4</v>
      </c>
      <c r="H51" s="6">
        <v>0.4</v>
      </c>
      <c r="I51" s="6">
        <v>0.4</v>
      </c>
      <c r="J51" s="6">
        <v>0.4</v>
      </c>
      <c r="K51" s="6">
        <v>0.4</v>
      </c>
      <c r="L51" s="6">
        <v>0.18</v>
      </c>
      <c r="M51" s="6">
        <v>0.08</v>
      </c>
      <c r="N51" s="6">
        <v>0.08</v>
      </c>
      <c r="O51" s="6">
        <v>0.08</v>
      </c>
      <c r="P51" s="6">
        <v>0.13</v>
      </c>
      <c r="Q51" s="7">
        <v>0.12</v>
      </c>
      <c r="R51" s="6">
        <v>0.12</v>
      </c>
      <c r="S51" s="4" t="s">
        <v>26</v>
      </c>
      <c r="T51" s="4" t="s">
        <v>26</v>
      </c>
      <c r="U51" s="4" t="s">
        <v>26</v>
      </c>
    </row>
    <row r="52" spans="1:21" ht="16" x14ac:dyDescent="0.2">
      <c r="A52" s="3" t="s">
        <v>65</v>
      </c>
      <c r="B52" s="4">
        <v>293314716</v>
      </c>
      <c r="C52" s="4">
        <v>240643000</v>
      </c>
      <c r="D52" s="4">
        <v>251547000</v>
      </c>
      <c r="E52" s="4">
        <v>274835000</v>
      </c>
      <c r="F52" s="4">
        <v>293429000</v>
      </c>
      <c r="G52" s="4">
        <v>282756000</v>
      </c>
      <c r="H52" s="4">
        <v>338983000</v>
      </c>
      <c r="I52" s="4">
        <v>312518000</v>
      </c>
      <c r="J52" s="4">
        <v>371689000</v>
      </c>
      <c r="K52" s="4">
        <v>330345000</v>
      </c>
      <c r="L52" s="4">
        <v>327973000</v>
      </c>
      <c r="M52" s="4">
        <v>275749000</v>
      </c>
      <c r="N52" s="4">
        <v>208662000</v>
      </c>
      <c r="O52" s="4">
        <v>190415000</v>
      </c>
      <c r="P52" s="4">
        <v>177376000</v>
      </c>
      <c r="Q52" s="5">
        <v>202216000</v>
      </c>
      <c r="R52" s="4">
        <v>28004000</v>
      </c>
      <c r="S52" s="4">
        <v>76373000</v>
      </c>
      <c r="T52" s="4">
        <v>41852000</v>
      </c>
      <c r="U52" s="4">
        <v>55987000</v>
      </c>
    </row>
    <row r="54" spans="1:21" ht="16" x14ac:dyDescent="0.2">
      <c r="A54" s="2" t="s">
        <v>26</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c r="T54" s="2" t="s">
        <v>18</v>
      </c>
      <c r="U54" s="2" t="s">
        <v>19</v>
      </c>
    </row>
    <row r="55" spans="1:21" ht="16" x14ac:dyDescent="0.2">
      <c r="A55" s="3" t="s">
        <v>66</v>
      </c>
      <c r="B55" s="4">
        <v>1659938077</v>
      </c>
      <c r="C55" s="4">
        <v>2527741000</v>
      </c>
      <c r="D55" s="4">
        <v>2573299000</v>
      </c>
      <c r="E55" s="4">
        <v>2585334000</v>
      </c>
      <c r="F55" s="4">
        <v>2167921000</v>
      </c>
      <c r="G55" s="4">
        <v>1757830000</v>
      </c>
      <c r="H55" s="4">
        <v>2067706000</v>
      </c>
      <c r="I55" s="4">
        <v>2183965000</v>
      </c>
      <c r="J55" s="4">
        <v>2041833000</v>
      </c>
      <c r="K55" s="4">
        <v>2135579000</v>
      </c>
      <c r="L55" s="4">
        <v>2082726000</v>
      </c>
      <c r="M55" s="4">
        <v>1806978000</v>
      </c>
      <c r="N55" s="4">
        <v>1945044000</v>
      </c>
      <c r="O55" s="4">
        <v>2141552000</v>
      </c>
      <c r="P55" s="4">
        <v>3321636000</v>
      </c>
      <c r="Q55" s="5">
        <v>3678978000</v>
      </c>
      <c r="R55" s="4">
        <v>3321636000</v>
      </c>
      <c r="S55" s="4">
        <v>3386939000</v>
      </c>
      <c r="T55" s="4">
        <v>3593614000</v>
      </c>
      <c r="U55" s="4">
        <v>3678978000</v>
      </c>
    </row>
    <row r="56" spans="1:21" ht="16" x14ac:dyDescent="0.2">
      <c r="A56" s="3" t="s">
        <v>67</v>
      </c>
      <c r="B56" s="4">
        <v>269175571</v>
      </c>
      <c r="C56" s="4">
        <v>1304065000</v>
      </c>
      <c r="D56" s="4">
        <v>1259653000</v>
      </c>
      <c r="E56" s="4">
        <v>1203420000</v>
      </c>
      <c r="F56" s="4">
        <v>799359000</v>
      </c>
      <c r="G56" s="4">
        <v>229135000</v>
      </c>
      <c r="H56" s="4">
        <v>566583000</v>
      </c>
      <c r="I56" s="4">
        <v>458604000</v>
      </c>
      <c r="J56" s="4">
        <v>320278000</v>
      </c>
      <c r="K56" s="4">
        <v>591620000</v>
      </c>
      <c r="L56" s="4">
        <v>1102553000</v>
      </c>
      <c r="M56" s="4">
        <v>866702000</v>
      </c>
      <c r="N56" s="4">
        <v>753227000</v>
      </c>
      <c r="O56" s="4">
        <v>1099096000</v>
      </c>
      <c r="P56" s="4">
        <v>2042848000</v>
      </c>
      <c r="Q56" s="4">
        <v>2228421000</v>
      </c>
      <c r="R56" s="4">
        <v>2042848000</v>
      </c>
      <c r="S56" s="4">
        <v>2231868000</v>
      </c>
      <c r="T56" s="4">
        <v>2228421000</v>
      </c>
      <c r="U56" s="4">
        <v>2228421000</v>
      </c>
    </row>
    <row r="57" spans="1:21" ht="16" x14ac:dyDescent="0.2">
      <c r="A57" s="3" t="s">
        <v>68</v>
      </c>
      <c r="B57" s="4">
        <v>269175571</v>
      </c>
      <c r="C57" s="4">
        <v>1101229000</v>
      </c>
      <c r="D57" s="4">
        <v>376621000</v>
      </c>
      <c r="E57" s="4">
        <v>399279000</v>
      </c>
      <c r="F57" s="4">
        <v>749824000</v>
      </c>
      <c r="G57" s="4">
        <v>229135000</v>
      </c>
      <c r="H57" s="4">
        <v>566583000</v>
      </c>
      <c r="I57" s="4">
        <v>458604000</v>
      </c>
      <c r="J57" s="4">
        <v>320278000</v>
      </c>
      <c r="K57" s="4">
        <v>591620000</v>
      </c>
      <c r="L57" s="4">
        <v>711528000</v>
      </c>
      <c r="M57" s="4">
        <v>866702000</v>
      </c>
      <c r="N57" s="4">
        <v>728242000</v>
      </c>
      <c r="O57" s="4">
        <v>1014190000</v>
      </c>
      <c r="P57" s="4">
        <v>904674000</v>
      </c>
      <c r="Q57" s="5" t="s">
        <v>26</v>
      </c>
      <c r="R57" s="4">
        <v>904674000</v>
      </c>
      <c r="S57" s="4">
        <v>1404965000</v>
      </c>
      <c r="T57" s="4">
        <v>2208977000</v>
      </c>
      <c r="U57" s="4" t="s">
        <v>26</v>
      </c>
    </row>
    <row r="58" spans="1:21" ht="16" x14ac:dyDescent="0.2">
      <c r="A58" s="3" t="s">
        <v>69</v>
      </c>
      <c r="B58" s="4" t="s">
        <v>26</v>
      </c>
      <c r="C58" s="4">
        <v>202836000</v>
      </c>
      <c r="D58" s="4">
        <v>883032000</v>
      </c>
      <c r="E58" s="4">
        <v>804141000</v>
      </c>
      <c r="F58" s="4">
        <v>49535000</v>
      </c>
      <c r="G58" s="4" t="s">
        <v>26</v>
      </c>
      <c r="H58" s="4" t="s">
        <v>26</v>
      </c>
      <c r="I58" s="4" t="s">
        <v>26</v>
      </c>
      <c r="J58" s="4" t="s">
        <v>26</v>
      </c>
      <c r="K58" s="4" t="s">
        <v>26</v>
      </c>
      <c r="L58" s="4">
        <v>391025000</v>
      </c>
      <c r="M58" s="4" t="s">
        <v>26</v>
      </c>
      <c r="N58" s="4">
        <v>24985000</v>
      </c>
      <c r="O58" s="4">
        <v>84906000</v>
      </c>
      <c r="P58" s="4">
        <v>1138174000</v>
      </c>
      <c r="Q58" s="5" t="s">
        <v>26</v>
      </c>
      <c r="R58" s="4">
        <v>1138174000</v>
      </c>
      <c r="S58" s="4">
        <v>826903000</v>
      </c>
      <c r="T58" s="4">
        <v>19444000</v>
      </c>
      <c r="U58" s="4" t="s">
        <v>26</v>
      </c>
    </row>
    <row r="59" spans="1:21" ht="16" x14ac:dyDescent="0.2">
      <c r="A59" s="3" t="s">
        <v>70</v>
      </c>
      <c r="B59" s="4">
        <v>618176299</v>
      </c>
      <c r="C59" s="4">
        <v>608347000</v>
      </c>
      <c r="D59" s="4">
        <v>581041000</v>
      </c>
      <c r="E59" s="4">
        <v>674614000</v>
      </c>
      <c r="F59" s="4">
        <v>615563000</v>
      </c>
      <c r="G59" s="4">
        <v>437748000</v>
      </c>
      <c r="H59" s="4">
        <v>468439000</v>
      </c>
      <c r="I59" s="4">
        <v>259551000</v>
      </c>
      <c r="J59" s="4">
        <v>264532000</v>
      </c>
      <c r="K59" s="4">
        <v>444321000</v>
      </c>
      <c r="L59" s="4">
        <v>423172000</v>
      </c>
      <c r="M59" s="4">
        <v>338275000</v>
      </c>
      <c r="N59" s="4">
        <v>231880000</v>
      </c>
      <c r="O59" s="4">
        <v>304337000</v>
      </c>
      <c r="P59" s="4">
        <v>217180000</v>
      </c>
      <c r="Q59" s="5">
        <v>302128000</v>
      </c>
      <c r="R59" s="4">
        <v>217180000</v>
      </c>
      <c r="S59" s="4">
        <v>260623000</v>
      </c>
      <c r="T59" s="4">
        <v>302485000</v>
      </c>
      <c r="U59" s="4">
        <v>302128000</v>
      </c>
    </row>
    <row r="60" spans="1:21" ht="16" x14ac:dyDescent="0.2">
      <c r="A60" s="3" t="s">
        <v>71</v>
      </c>
      <c r="B60" s="4">
        <v>568340214</v>
      </c>
      <c r="C60" s="4">
        <v>453622000</v>
      </c>
      <c r="D60" s="4">
        <v>447404000</v>
      </c>
      <c r="E60" s="4">
        <v>564994000</v>
      </c>
      <c r="F60" s="4">
        <v>500274000</v>
      </c>
      <c r="G60" s="4">
        <v>391749000</v>
      </c>
      <c r="H60" s="4">
        <v>428850000</v>
      </c>
      <c r="I60" s="4">
        <v>236859000</v>
      </c>
      <c r="J60" s="4">
        <v>236373000</v>
      </c>
      <c r="K60" s="4">
        <v>392759000</v>
      </c>
      <c r="L60" s="4">
        <v>392865000</v>
      </c>
      <c r="M60" s="4">
        <v>321638000</v>
      </c>
      <c r="N60" s="4">
        <v>166054000</v>
      </c>
      <c r="O60" s="4">
        <v>271015000</v>
      </c>
      <c r="P60" s="4">
        <v>167688000</v>
      </c>
      <c r="Q60" s="5">
        <v>297683000</v>
      </c>
      <c r="R60" s="4">
        <v>167688000</v>
      </c>
      <c r="S60" s="4">
        <v>149051000</v>
      </c>
      <c r="T60" s="4">
        <v>275628000</v>
      </c>
      <c r="U60" s="4">
        <v>297683000</v>
      </c>
    </row>
    <row r="61" spans="1:21" ht="16" x14ac:dyDescent="0.2">
      <c r="A61" s="3" t="s">
        <v>72</v>
      </c>
      <c r="B61" s="4" t="s">
        <v>26</v>
      </c>
      <c r="C61" s="4" t="s">
        <v>26</v>
      </c>
      <c r="D61" s="4" t="s">
        <v>26</v>
      </c>
      <c r="E61" s="4" t="s">
        <v>26</v>
      </c>
      <c r="F61" s="4" t="s">
        <v>26</v>
      </c>
      <c r="G61" s="4" t="s">
        <v>26</v>
      </c>
      <c r="H61" s="4" t="s">
        <v>26</v>
      </c>
      <c r="I61" s="4" t="s">
        <v>26</v>
      </c>
      <c r="J61" s="4" t="s">
        <v>26</v>
      </c>
      <c r="K61" s="4" t="s">
        <v>26</v>
      </c>
      <c r="L61" s="4" t="s">
        <v>26</v>
      </c>
      <c r="M61" s="4" t="s">
        <v>26</v>
      </c>
      <c r="N61" s="4" t="s">
        <v>26</v>
      </c>
      <c r="O61" s="4" t="s">
        <v>26</v>
      </c>
      <c r="P61" s="4" t="s">
        <v>26</v>
      </c>
      <c r="Q61" s="5" t="s">
        <v>26</v>
      </c>
      <c r="R61" s="4" t="s">
        <v>26</v>
      </c>
      <c r="S61" s="4" t="s">
        <v>26</v>
      </c>
      <c r="T61" s="4" t="s">
        <v>26</v>
      </c>
      <c r="U61" s="4" t="s">
        <v>26</v>
      </c>
    </row>
    <row r="62" spans="1:21" ht="16" x14ac:dyDescent="0.2">
      <c r="A62" s="3" t="s">
        <v>73</v>
      </c>
      <c r="B62" s="4" t="s">
        <v>26</v>
      </c>
      <c r="C62" s="4" t="s">
        <v>26</v>
      </c>
      <c r="D62" s="4" t="s">
        <v>26</v>
      </c>
      <c r="E62" s="4" t="s">
        <v>26</v>
      </c>
      <c r="F62" s="4" t="s">
        <v>26</v>
      </c>
      <c r="G62" s="4" t="s">
        <v>26</v>
      </c>
      <c r="H62" s="4" t="s">
        <v>26</v>
      </c>
      <c r="I62" s="4" t="s">
        <v>26</v>
      </c>
      <c r="J62" s="4" t="s">
        <v>26</v>
      </c>
      <c r="K62" s="4" t="s">
        <v>26</v>
      </c>
      <c r="L62" s="4" t="s">
        <v>26</v>
      </c>
      <c r="M62" s="4" t="s">
        <v>26</v>
      </c>
      <c r="N62" s="4" t="s">
        <v>26</v>
      </c>
      <c r="O62" s="4" t="s">
        <v>26</v>
      </c>
      <c r="P62" s="4" t="s">
        <v>26</v>
      </c>
      <c r="Q62" s="5" t="s">
        <v>26</v>
      </c>
      <c r="R62" s="4" t="s">
        <v>26</v>
      </c>
      <c r="S62" s="4" t="s">
        <v>26</v>
      </c>
      <c r="T62" s="4" t="s">
        <v>26</v>
      </c>
      <c r="U62" s="4" t="s">
        <v>26</v>
      </c>
    </row>
    <row r="63" spans="1:21" ht="16" x14ac:dyDescent="0.2">
      <c r="A63" s="3" t="s">
        <v>74</v>
      </c>
      <c r="B63" s="4">
        <v>49836085</v>
      </c>
      <c r="C63" s="4">
        <v>154725000</v>
      </c>
      <c r="D63" s="4">
        <v>133637000</v>
      </c>
      <c r="E63" s="4">
        <v>109620000</v>
      </c>
      <c r="F63" s="4">
        <v>115289000</v>
      </c>
      <c r="G63" s="4">
        <v>45999000</v>
      </c>
      <c r="H63" s="4">
        <v>39589000</v>
      </c>
      <c r="I63" s="4">
        <v>22692000</v>
      </c>
      <c r="J63" s="4">
        <v>28159000</v>
      </c>
      <c r="K63" s="4">
        <v>51562000</v>
      </c>
      <c r="L63" s="4">
        <v>30307000</v>
      </c>
      <c r="M63" s="4">
        <v>16637000</v>
      </c>
      <c r="N63" s="4">
        <v>65826000</v>
      </c>
      <c r="O63" s="4">
        <v>33322000</v>
      </c>
      <c r="P63" s="4">
        <v>49492000</v>
      </c>
      <c r="Q63" s="5">
        <v>4445000</v>
      </c>
      <c r="R63" s="4">
        <v>49492000</v>
      </c>
      <c r="S63" s="4">
        <v>111572000</v>
      </c>
      <c r="T63" s="4">
        <v>26857000</v>
      </c>
      <c r="U63" s="4">
        <v>4445000</v>
      </c>
    </row>
    <row r="64" spans="1:21" ht="16" x14ac:dyDescent="0.2">
      <c r="A64" s="3" t="s">
        <v>75</v>
      </c>
      <c r="B64" s="4">
        <v>470649587</v>
      </c>
      <c r="C64" s="4">
        <v>453224000</v>
      </c>
      <c r="D64" s="4">
        <v>542526000</v>
      </c>
      <c r="E64" s="4">
        <v>493875000</v>
      </c>
      <c r="F64" s="4">
        <v>752999000</v>
      </c>
      <c r="G64" s="4">
        <v>1090947000</v>
      </c>
      <c r="H64" s="4">
        <v>1032684000</v>
      </c>
      <c r="I64" s="4">
        <v>1465810000</v>
      </c>
      <c r="J64" s="4">
        <v>1457023000</v>
      </c>
      <c r="K64" s="4">
        <v>1099638000</v>
      </c>
      <c r="L64" s="4">
        <v>557001000</v>
      </c>
      <c r="M64" s="4">
        <v>406272000</v>
      </c>
      <c r="N64" s="4">
        <v>769797000</v>
      </c>
      <c r="O64" s="4">
        <v>504862000</v>
      </c>
      <c r="P64" s="4">
        <v>822608000</v>
      </c>
      <c r="Q64" s="5">
        <v>709135000</v>
      </c>
      <c r="R64" s="4">
        <v>822608000</v>
      </c>
      <c r="S64" s="4">
        <v>652530000</v>
      </c>
      <c r="T64" s="4">
        <v>817725000</v>
      </c>
      <c r="U64" s="4">
        <v>709135000</v>
      </c>
    </row>
    <row r="65" spans="1:21" ht="16" x14ac:dyDescent="0.2">
      <c r="A65" s="3" t="s">
        <v>76</v>
      </c>
      <c r="B65" s="4">
        <v>376714000</v>
      </c>
      <c r="C65" s="4">
        <v>435099000</v>
      </c>
      <c r="D65" s="4">
        <v>149913000</v>
      </c>
      <c r="E65" s="4">
        <v>132394000</v>
      </c>
      <c r="F65" s="4">
        <v>189421000</v>
      </c>
      <c r="G65" s="4">
        <v>177632000</v>
      </c>
      <c r="H65" s="4">
        <v>130406000</v>
      </c>
      <c r="I65" s="4">
        <v>180544000</v>
      </c>
      <c r="J65" s="4">
        <v>169084000</v>
      </c>
      <c r="K65" s="4">
        <v>149872000</v>
      </c>
      <c r="L65" s="4">
        <v>89206000</v>
      </c>
      <c r="M65" s="4">
        <v>85502000</v>
      </c>
      <c r="N65" s="4">
        <v>89428000</v>
      </c>
      <c r="O65" s="4">
        <v>95341000</v>
      </c>
      <c r="P65" s="4">
        <v>157910000</v>
      </c>
      <c r="Q65" s="5">
        <v>200457000</v>
      </c>
      <c r="R65" s="4">
        <v>157910000</v>
      </c>
      <c r="S65" s="4">
        <v>168804000</v>
      </c>
      <c r="T65" s="4">
        <v>184328000</v>
      </c>
      <c r="U65" s="4">
        <v>200457000</v>
      </c>
    </row>
    <row r="66" spans="1:21" ht="16" x14ac:dyDescent="0.2">
      <c r="A66" s="3" t="s">
        <v>77</v>
      </c>
      <c r="B66" s="4">
        <v>21396000</v>
      </c>
      <c r="C66" s="4">
        <v>18125000</v>
      </c>
      <c r="D66" s="4">
        <v>392613000</v>
      </c>
      <c r="E66" s="4">
        <v>361481000</v>
      </c>
      <c r="F66" s="4" t="s">
        <v>26</v>
      </c>
      <c r="G66" s="4" t="s">
        <v>26</v>
      </c>
      <c r="H66" s="4" t="s">
        <v>26</v>
      </c>
      <c r="I66" s="4" t="s">
        <v>26</v>
      </c>
      <c r="J66" s="4" t="s">
        <v>26</v>
      </c>
      <c r="K66" s="4" t="s">
        <v>26</v>
      </c>
      <c r="L66" s="4" t="s">
        <v>26</v>
      </c>
      <c r="M66" s="4" t="s">
        <v>26</v>
      </c>
      <c r="N66" s="4" t="s">
        <v>26</v>
      </c>
      <c r="O66" s="4" t="s">
        <v>26</v>
      </c>
      <c r="P66" s="4" t="s">
        <v>26</v>
      </c>
      <c r="Q66" s="5" t="s">
        <v>26</v>
      </c>
      <c r="R66" s="4" t="s">
        <v>26</v>
      </c>
      <c r="S66" s="4" t="s">
        <v>26</v>
      </c>
      <c r="T66" s="4" t="s">
        <v>26</v>
      </c>
      <c r="U66" s="4" t="s">
        <v>26</v>
      </c>
    </row>
    <row r="67" spans="1:21" ht="16" x14ac:dyDescent="0.2">
      <c r="A67" s="3" t="s">
        <v>78</v>
      </c>
      <c r="B67" s="4" t="s">
        <v>26</v>
      </c>
      <c r="C67" s="4" t="s">
        <v>26</v>
      </c>
      <c r="D67" s="4" t="s">
        <v>26</v>
      </c>
      <c r="E67" s="4" t="s">
        <v>26</v>
      </c>
      <c r="F67" s="4" t="s">
        <v>26</v>
      </c>
      <c r="G67" s="4">
        <v>705098000</v>
      </c>
      <c r="H67" s="4">
        <v>650336000</v>
      </c>
      <c r="I67" s="4">
        <v>1068905000</v>
      </c>
      <c r="J67" s="4">
        <v>1146899000</v>
      </c>
      <c r="K67" s="4">
        <v>935965000</v>
      </c>
      <c r="L67" s="4">
        <v>382141000</v>
      </c>
      <c r="M67" s="4">
        <v>317918000</v>
      </c>
      <c r="N67" s="4">
        <v>677313000</v>
      </c>
      <c r="O67" s="4">
        <v>409130000</v>
      </c>
      <c r="P67" s="4">
        <v>664273000</v>
      </c>
      <c r="Q67" s="5">
        <v>508253000</v>
      </c>
      <c r="R67" s="4">
        <v>664273000</v>
      </c>
      <c r="S67" s="4">
        <v>483302000</v>
      </c>
      <c r="T67" s="4">
        <v>632979000</v>
      </c>
      <c r="U67" s="4">
        <v>508253000</v>
      </c>
    </row>
    <row r="68" spans="1:21" ht="16" x14ac:dyDescent="0.2">
      <c r="A68" s="3" t="s">
        <v>79</v>
      </c>
      <c r="B68" s="4">
        <v>-22054395</v>
      </c>
      <c r="C68" s="4" t="s">
        <v>26</v>
      </c>
      <c r="D68" s="4" t="s">
        <v>26</v>
      </c>
      <c r="E68" s="4" t="s">
        <v>26</v>
      </c>
      <c r="F68" s="4" t="s">
        <v>26</v>
      </c>
      <c r="G68" s="4" t="s">
        <v>26</v>
      </c>
      <c r="H68" s="4" t="s">
        <v>26</v>
      </c>
      <c r="I68" s="4" t="s">
        <v>26</v>
      </c>
      <c r="J68" s="4" t="s">
        <v>26</v>
      </c>
      <c r="K68" s="4" t="s">
        <v>26</v>
      </c>
      <c r="L68" s="4" t="s">
        <v>26</v>
      </c>
      <c r="M68" s="4" t="s">
        <v>26</v>
      </c>
      <c r="N68" s="4" t="s">
        <v>26</v>
      </c>
      <c r="O68" s="4" t="s">
        <v>26</v>
      </c>
      <c r="P68" s="4" t="s">
        <v>26</v>
      </c>
      <c r="Q68" s="5" t="s">
        <v>26</v>
      </c>
      <c r="R68" s="4" t="s">
        <v>26</v>
      </c>
      <c r="S68" s="4" t="s">
        <v>26</v>
      </c>
      <c r="T68" s="4" t="s">
        <v>26</v>
      </c>
      <c r="U68" s="4" t="s">
        <v>26</v>
      </c>
    </row>
    <row r="69" spans="1:21" ht="16" x14ac:dyDescent="0.2">
      <c r="A69" s="3" t="s">
        <v>80</v>
      </c>
      <c r="B69" s="4">
        <v>94593982</v>
      </c>
      <c r="C69" s="4" t="s">
        <v>26</v>
      </c>
      <c r="D69" s="4" t="s">
        <v>26</v>
      </c>
      <c r="E69" s="4" t="s">
        <v>26</v>
      </c>
      <c r="F69" s="4">
        <v>563578000</v>
      </c>
      <c r="G69" s="4">
        <v>208217000</v>
      </c>
      <c r="H69" s="4">
        <v>251942000</v>
      </c>
      <c r="I69" s="4">
        <v>216361000</v>
      </c>
      <c r="J69" s="4">
        <v>141040000</v>
      </c>
      <c r="K69" s="4">
        <v>13801000</v>
      </c>
      <c r="L69" s="4">
        <v>85654000</v>
      </c>
      <c r="M69" s="4">
        <v>2852000</v>
      </c>
      <c r="N69" s="4">
        <v>3056000</v>
      </c>
      <c r="O69" s="4">
        <v>391000</v>
      </c>
      <c r="P69" s="4">
        <v>425000</v>
      </c>
      <c r="Q69" s="5">
        <v>425000</v>
      </c>
      <c r="R69" s="4">
        <v>425000</v>
      </c>
      <c r="S69" s="4">
        <v>424000</v>
      </c>
      <c r="T69" s="4">
        <v>418000</v>
      </c>
      <c r="U69" s="4">
        <v>425000</v>
      </c>
    </row>
    <row r="70" spans="1:21" ht="16" x14ac:dyDescent="0.2">
      <c r="A70" s="3" t="s">
        <v>81</v>
      </c>
      <c r="B70" s="4">
        <v>301936620</v>
      </c>
      <c r="C70" s="4">
        <v>162105000</v>
      </c>
      <c r="D70" s="4">
        <v>190079000</v>
      </c>
      <c r="E70" s="4">
        <v>213425000</v>
      </c>
      <c r="F70" s="4" t="s">
        <v>26</v>
      </c>
      <c r="G70" s="4" t="s">
        <v>26</v>
      </c>
      <c r="H70" s="4" t="s">
        <v>26</v>
      </c>
      <c r="I70" s="4" t="s">
        <v>26</v>
      </c>
      <c r="J70" s="4" t="s">
        <v>26</v>
      </c>
      <c r="K70" s="4" t="s">
        <v>26</v>
      </c>
      <c r="L70" s="4" t="s">
        <v>26</v>
      </c>
      <c r="M70" s="4">
        <v>195729000</v>
      </c>
      <c r="N70" s="4">
        <v>190140000</v>
      </c>
      <c r="O70" s="4">
        <v>233257000</v>
      </c>
      <c r="P70" s="4">
        <v>239000000</v>
      </c>
      <c r="Q70" s="5">
        <v>2667715000</v>
      </c>
      <c r="R70" s="4">
        <v>239000000</v>
      </c>
      <c r="S70" s="4">
        <v>241918000</v>
      </c>
      <c r="T70" s="4">
        <v>244983000</v>
      </c>
      <c r="U70" s="4">
        <v>2667715000</v>
      </c>
    </row>
    <row r="71" spans="1:21" ht="16" x14ac:dyDescent="0.2">
      <c r="A71" s="3" t="s">
        <v>82</v>
      </c>
      <c r="B71" s="4" t="s">
        <v>26</v>
      </c>
      <c r="C71" s="4" t="s">
        <v>26</v>
      </c>
      <c r="D71" s="4" t="s">
        <v>26</v>
      </c>
      <c r="E71" s="4" t="s">
        <v>26</v>
      </c>
      <c r="F71" s="4" t="s">
        <v>26</v>
      </c>
      <c r="G71" s="4" t="s">
        <v>26</v>
      </c>
      <c r="H71" s="4" t="s">
        <v>26</v>
      </c>
      <c r="I71" s="4" t="s">
        <v>26</v>
      </c>
      <c r="J71" s="4" t="s">
        <v>26</v>
      </c>
      <c r="K71" s="4" t="s">
        <v>26</v>
      </c>
      <c r="L71" s="4" t="s">
        <v>26</v>
      </c>
      <c r="M71" s="4" t="s">
        <v>26</v>
      </c>
      <c r="N71" s="4" t="s">
        <v>26</v>
      </c>
      <c r="O71" s="4" t="s">
        <v>26</v>
      </c>
      <c r="P71" s="4" t="s">
        <v>26</v>
      </c>
      <c r="Q71" s="5" t="s">
        <v>26</v>
      </c>
      <c r="R71" s="4" t="s">
        <v>26</v>
      </c>
      <c r="S71" s="4" t="s">
        <v>26</v>
      </c>
      <c r="T71" s="4" t="s">
        <v>26</v>
      </c>
      <c r="U71" s="4" t="s">
        <v>26</v>
      </c>
    </row>
    <row r="72" spans="1:21" ht="16" x14ac:dyDescent="0.2">
      <c r="A72" s="3" t="s">
        <v>83</v>
      </c>
      <c r="B72" s="4" t="s">
        <v>26</v>
      </c>
      <c r="C72" s="4" t="s">
        <v>26</v>
      </c>
      <c r="D72" s="4" t="s">
        <v>26</v>
      </c>
      <c r="E72" s="4" t="s">
        <v>26</v>
      </c>
      <c r="F72" s="4" t="s">
        <v>26</v>
      </c>
      <c r="G72" s="4" t="s">
        <v>26</v>
      </c>
      <c r="H72" s="4" t="s">
        <v>26</v>
      </c>
      <c r="I72" s="4" t="s">
        <v>26</v>
      </c>
      <c r="J72" s="4" t="s">
        <v>26</v>
      </c>
      <c r="K72" s="4" t="s">
        <v>26</v>
      </c>
      <c r="L72" s="4" t="s">
        <v>26</v>
      </c>
      <c r="M72" s="4" t="s">
        <v>26</v>
      </c>
      <c r="N72" s="4" t="s">
        <v>26</v>
      </c>
      <c r="O72" s="4" t="s">
        <v>26</v>
      </c>
      <c r="P72" s="4" t="s">
        <v>26</v>
      </c>
      <c r="Q72" s="5" t="s">
        <v>26</v>
      </c>
      <c r="R72" s="4" t="s">
        <v>26</v>
      </c>
      <c r="S72" s="4" t="s">
        <v>26</v>
      </c>
      <c r="T72" s="4" t="s">
        <v>26</v>
      </c>
      <c r="U72" s="4" t="s">
        <v>26</v>
      </c>
    </row>
    <row r="73" spans="1:21" ht="16" x14ac:dyDescent="0.2">
      <c r="A73" s="3" t="s">
        <v>84</v>
      </c>
      <c r="B73" s="4" t="s">
        <v>26</v>
      </c>
      <c r="C73" s="4" t="s">
        <v>26</v>
      </c>
      <c r="D73" s="4" t="s">
        <v>26</v>
      </c>
      <c r="E73" s="4" t="s">
        <v>26</v>
      </c>
      <c r="F73" s="4" t="s">
        <v>26</v>
      </c>
      <c r="G73" s="4" t="s">
        <v>26</v>
      </c>
      <c r="H73" s="4" t="s">
        <v>26</v>
      </c>
      <c r="I73" s="4" t="s">
        <v>26</v>
      </c>
      <c r="J73" s="4" t="s">
        <v>26</v>
      </c>
      <c r="K73" s="4" t="s">
        <v>26</v>
      </c>
      <c r="L73" s="4" t="s">
        <v>26</v>
      </c>
      <c r="M73" s="4" t="s">
        <v>26</v>
      </c>
      <c r="N73" s="4" t="s">
        <v>26</v>
      </c>
      <c r="O73" s="4" t="s">
        <v>26</v>
      </c>
      <c r="P73" s="4" t="s">
        <v>26</v>
      </c>
      <c r="Q73" s="5" t="s">
        <v>26</v>
      </c>
      <c r="R73" s="4" t="s">
        <v>26</v>
      </c>
      <c r="S73" s="4" t="s">
        <v>26</v>
      </c>
      <c r="T73" s="4" t="s">
        <v>26</v>
      </c>
      <c r="U73" s="4" t="s">
        <v>26</v>
      </c>
    </row>
    <row r="74" spans="1:21" ht="16" x14ac:dyDescent="0.2">
      <c r="A74" s="3" t="s">
        <v>85</v>
      </c>
      <c r="B74" s="4" t="s">
        <v>26</v>
      </c>
      <c r="C74" s="4" t="s">
        <v>26</v>
      </c>
      <c r="D74" s="4" t="s">
        <v>26</v>
      </c>
      <c r="E74" s="4" t="s">
        <v>26</v>
      </c>
      <c r="F74" s="4" t="s">
        <v>26</v>
      </c>
      <c r="G74" s="4" t="s">
        <v>26</v>
      </c>
      <c r="H74" s="4" t="s">
        <v>26</v>
      </c>
      <c r="I74" s="4" t="s">
        <v>26</v>
      </c>
      <c r="J74" s="4" t="s">
        <v>26</v>
      </c>
      <c r="K74" s="4" t="s">
        <v>26</v>
      </c>
      <c r="L74" s="4" t="s">
        <v>26</v>
      </c>
      <c r="M74" s="4" t="s">
        <v>26</v>
      </c>
      <c r="N74" s="4" t="s">
        <v>26</v>
      </c>
      <c r="O74" s="4" t="s">
        <v>26</v>
      </c>
      <c r="P74" s="4" t="s">
        <v>26</v>
      </c>
      <c r="Q74" s="5" t="s">
        <v>26</v>
      </c>
      <c r="R74" s="4" t="s">
        <v>26</v>
      </c>
      <c r="S74" s="4" t="s">
        <v>26</v>
      </c>
      <c r="T74" s="4" t="s">
        <v>26</v>
      </c>
      <c r="U74" s="4" t="s">
        <v>26</v>
      </c>
    </row>
    <row r="75" spans="1:21" ht="16" x14ac:dyDescent="0.2">
      <c r="A75" s="3" t="s">
        <v>86</v>
      </c>
      <c r="B75" s="4" t="s">
        <v>26</v>
      </c>
      <c r="C75" s="4" t="s">
        <v>26</v>
      </c>
      <c r="D75" s="4" t="s">
        <v>26</v>
      </c>
      <c r="E75" s="4" t="s">
        <v>26</v>
      </c>
      <c r="F75" s="4" t="s">
        <v>26</v>
      </c>
      <c r="G75" s="4" t="s">
        <v>26</v>
      </c>
      <c r="H75" s="4" t="s">
        <v>26</v>
      </c>
      <c r="I75" s="4" t="s">
        <v>26</v>
      </c>
      <c r="J75" s="4" t="s">
        <v>26</v>
      </c>
      <c r="K75" s="4" t="s">
        <v>26</v>
      </c>
      <c r="L75" s="4" t="s">
        <v>26</v>
      </c>
      <c r="M75" s="4" t="s">
        <v>26</v>
      </c>
      <c r="N75" s="4" t="s">
        <v>26</v>
      </c>
      <c r="O75" s="4" t="s">
        <v>26</v>
      </c>
      <c r="P75" s="4" t="s">
        <v>26</v>
      </c>
      <c r="Q75" s="5" t="s">
        <v>26</v>
      </c>
      <c r="R75" s="4" t="s">
        <v>26</v>
      </c>
      <c r="S75" s="4" t="s">
        <v>26</v>
      </c>
      <c r="T75" s="4" t="s">
        <v>26</v>
      </c>
      <c r="U75" s="4" t="s">
        <v>26</v>
      </c>
    </row>
    <row r="76" spans="1:21" ht="16" x14ac:dyDescent="0.2">
      <c r="A76" s="3" t="s">
        <v>87</v>
      </c>
      <c r="B76" s="4">
        <v>5350662943</v>
      </c>
      <c r="C76" s="4">
        <v>4814361000</v>
      </c>
      <c r="D76" s="4">
        <v>5098069000</v>
      </c>
      <c r="E76" s="4">
        <v>5216497000</v>
      </c>
      <c r="F76" s="4">
        <v>6047099000</v>
      </c>
      <c r="G76" s="4">
        <v>6281487000</v>
      </c>
      <c r="H76" s="4">
        <v>6404961000</v>
      </c>
      <c r="I76" s="4">
        <v>6610672000</v>
      </c>
      <c r="J76" s="4">
        <v>6207365000</v>
      </c>
      <c r="K76" s="4">
        <v>5643148000</v>
      </c>
      <c r="L76" s="4">
        <v>5935910000</v>
      </c>
      <c r="M76" s="4">
        <v>5620270000</v>
      </c>
      <c r="N76" s="4">
        <v>5635787000</v>
      </c>
      <c r="O76" s="4">
        <v>5376192000</v>
      </c>
      <c r="P76" s="4">
        <v>5311157000</v>
      </c>
      <c r="Q76" s="5">
        <v>5041232000</v>
      </c>
      <c r="R76" s="4">
        <v>5311157000</v>
      </c>
      <c r="S76" s="4">
        <v>5217072000</v>
      </c>
      <c r="T76" s="4">
        <v>5069157000</v>
      </c>
      <c r="U76" s="4">
        <v>5041232000</v>
      </c>
    </row>
    <row r="77" spans="1:21" ht="16" x14ac:dyDescent="0.2">
      <c r="A77" s="3" t="s">
        <v>88</v>
      </c>
      <c r="B77" s="4">
        <v>4416293103</v>
      </c>
      <c r="C77" s="4">
        <v>3363838000</v>
      </c>
      <c r="D77" s="4">
        <v>4337809000</v>
      </c>
      <c r="E77" s="4">
        <v>4532107000</v>
      </c>
      <c r="F77" s="4">
        <v>5249099000</v>
      </c>
      <c r="G77" s="4">
        <v>5040993000</v>
      </c>
      <c r="H77" s="4">
        <v>5291021000</v>
      </c>
      <c r="I77" s="4">
        <v>5228160000</v>
      </c>
      <c r="J77" s="4">
        <v>4655586000</v>
      </c>
      <c r="K77" s="4">
        <v>4191892000</v>
      </c>
      <c r="L77" s="4">
        <v>3881926000</v>
      </c>
      <c r="M77" s="4">
        <v>3720672000</v>
      </c>
      <c r="N77" s="4">
        <v>3771557000</v>
      </c>
      <c r="O77" s="4">
        <v>3576599000</v>
      </c>
      <c r="P77" s="4">
        <v>3473490000</v>
      </c>
      <c r="Q77" s="5">
        <v>3322377000</v>
      </c>
      <c r="R77" s="4">
        <v>3473490000</v>
      </c>
      <c r="S77" s="4">
        <v>3412941000</v>
      </c>
      <c r="T77" s="4">
        <v>3370921000</v>
      </c>
      <c r="U77" s="4">
        <v>3322377000</v>
      </c>
    </row>
    <row r="78" spans="1:21" ht="16" x14ac:dyDescent="0.2">
      <c r="A78" s="3" t="s">
        <v>89</v>
      </c>
      <c r="B78" s="4">
        <v>6981466731</v>
      </c>
      <c r="C78" s="4">
        <v>5441036000</v>
      </c>
      <c r="D78" s="4">
        <v>6644493000</v>
      </c>
      <c r="E78" s="4">
        <v>7057281000</v>
      </c>
      <c r="F78" s="4">
        <v>8215134000</v>
      </c>
      <c r="G78" s="4">
        <v>7878989000</v>
      </c>
      <c r="H78" s="4">
        <v>8575744000</v>
      </c>
      <c r="I78" s="4">
        <v>9171348000</v>
      </c>
      <c r="J78" s="4">
        <v>9176181000</v>
      </c>
      <c r="K78" s="4">
        <v>9140575000</v>
      </c>
      <c r="L78" s="4">
        <v>9009461000</v>
      </c>
      <c r="M78" s="4">
        <v>9021595000</v>
      </c>
      <c r="N78" s="4">
        <v>9273892000</v>
      </c>
      <c r="O78" s="4">
        <v>9213731000</v>
      </c>
      <c r="P78" s="4">
        <v>9425803000</v>
      </c>
      <c r="Q78" s="5">
        <v>3322377000</v>
      </c>
      <c r="R78" s="4">
        <v>9425803000</v>
      </c>
      <c r="S78" s="4">
        <v>3412941000</v>
      </c>
      <c r="T78" s="4">
        <v>3370921000</v>
      </c>
      <c r="U78" s="4">
        <v>3322377000</v>
      </c>
    </row>
    <row r="79" spans="1:21" ht="16" x14ac:dyDescent="0.2">
      <c r="A79" s="3" t="s">
        <v>90</v>
      </c>
      <c r="B79" s="4">
        <v>2565173628</v>
      </c>
      <c r="C79" s="4">
        <v>2077198000</v>
      </c>
      <c r="D79" s="4">
        <v>2306684000</v>
      </c>
      <c r="E79" s="4">
        <v>2525174000</v>
      </c>
      <c r="F79" s="4">
        <v>2966035000</v>
      </c>
      <c r="G79" s="4">
        <v>2837996000</v>
      </c>
      <c r="H79" s="4">
        <v>3284723000</v>
      </c>
      <c r="I79" s="4">
        <v>3943188000</v>
      </c>
      <c r="J79" s="4">
        <v>4520595000</v>
      </c>
      <c r="K79" s="4">
        <v>4948683000</v>
      </c>
      <c r="L79" s="4">
        <v>5127535000</v>
      </c>
      <c r="M79" s="4">
        <v>5300923000</v>
      </c>
      <c r="N79" s="4">
        <v>5502335000</v>
      </c>
      <c r="O79" s="4">
        <v>5637132000</v>
      </c>
      <c r="P79" s="4">
        <v>5952313000</v>
      </c>
      <c r="Q79" s="5" t="s">
        <v>26</v>
      </c>
      <c r="R79" s="4">
        <v>5952313000</v>
      </c>
      <c r="S79" s="4" t="s">
        <v>26</v>
      </c>
      <c r="T79" s="4" t="s">
        <v>26</v>
      </c>
      <c r="U79" s="4" t="s">
        <v>26</v>
      </c>
    </row>
    <row r="80" spans="1:21" ht="16" x14ac:dyDescent="0.2">
      <c r="A80" s="3" t="s">
        <v>91</v>
      </c>
      <c r="B80" s="4" t="s">
        <v>26</v>
      </c>
      <c r="C80" s="4" t="s">
        <v>26</v>
      </c>
      <c r="D80" s="4">
        <v>220430000</v>
      </c>
      <c r="E80" s="4">
        <v>220226000</v>
      </c>
      <c r="F80" s="4">
        <v>212522000</v>
      </c>
      <c r="G80" s="4">
        <v>492712000</v>
      </c>
      <c r="H80" s="4">
        <v>3230000</v>
      </c>
      <c r="I80" s="4">
        <v>2472000</v>
      </c>
      <c r="J80" s="4" t="s">
        <v>26</v>
      </c>
      <c r="K80" s="4" t="s">
        <v>26</v>
      </c>
      <c r="L80" s="4">
        <v>230502000</v>
      </c>
      <c r="M80" s="4">
        <v>252681000</v>
      </c>
      <c r="N80" s="4">
        <v>219688000</v>
      </c>
      <c r="O80" s="4">
        <v>233240000</v>
      </c>
      <c r="P80" s="4">
        <v>210972000</v>
      </c>
      <c r="Q80" s="5">
        <v>194785000</v>
      </c>
      <c r="R80" s="4">
        <v>210972000</v>
      </c>
      <c r="S80" s="4">
        <v>271527000</v>
      </c>
      <c r="T80" s="4">
        <v>162752000</v>
      </c>
      <c r="U80" s="4">
        <v>194785000</v>
      </c>
    </row>
    <row r="81" spans="1:21" ht="16" x14ac:dyDescent="0.2">
      <c r="A81" s="3" t="s">
        <v>92</v>
      </c>
      <c r="B81" s="4" t="s">
        <v>26</v>
      </c>
      <c r="C81" s="4" t="s">
        <v>26</v>
      </c>
      <c r="D81" s="4">
        <v>220430000</v>
      </c>
      <c r="E81" s="4">
        <v>220226000</v>
      </c>
      <c r="F81" s="4">
        <v>212522000</v>
      </c>
      <c r="G81" s="4">
        <v>492712000</v>
      </c>
      <c r="H81" s="4">
        <v>3230000</v>
      </c>
      <c r="I81" s="4">
        <v>2472000</v>
      </c>
      <c r="J81" s="4" t="s">
        <v>26</v>
      </c>
      <c r="K81" s="4" t="s">
        <v>26</v>
      </c>
      <c r="L81" s="4">
        <v>230502000</v>
      </c>
      <c r="M81" s="4">
        <v>252681000</v>
      </c>
      <c r="N81" s="4">
        <v>219688000</v>
      </c>
      <c r="O81" s="4">
        <v>233240000</v>
      </c>
      <c r="P81" s="4">
        <v>210972000</v>
      </c>
      <c r="Q81" s="5">
        <v>194785000</v>
      </c>
      <c r="R81" s="4">
        <v>210972000</v>
      </c>
      <c r="S81" s="4">
        <v>271527000</v>
      </c>
      <c r="T81" s="4">
        <v>162752000</v>
      </c>
      <c r="U81" s="4">
        <v>194785000</v>
      </c>
    </row>
    <row r="82" spans="1:21" ht="16" x14ac:dyDescent="0.2">
      <c r="A82" s="3" t="s">
        <v>93</v>
      </c>
      <c r="B82" s="4" t="s">
        <v>26</v>
      </c>
      <c r="C82" s="4" t="s">
        <v>26</v>
      </c>
      <c r="D82" s="4" t="s">
        <v>26</v>
      </c>
      <c r="E82" s="4" t="s">
        <v>26</v>
      </c>
      <c r="F82" s="4" t="s">
        <v>26</v>
      </c>
      <c r="G82" s="4" t="s">
        <v>26</v>
      </c>
      <c r="H82" s="4" t="s">
        <v>26</v>
      </c>
      <c r="I82" s="4" t="s">
        <v>26</v>
      </c>
      <c r="J82" s="4" t="s">
        <v>26</v>
      </c>
      <c r="K82" s="4" t="s">
        <v>26</v>
      </c>
      <c r="L82" s="4" t="s">
        <v>26</v>
      </c>
      <c r="M82" s="4" t="s">
        <v>26</v>
      </c>
      <c r="N82" s="4" t="s">
        <v>26</v>
      </c>
      <c r="O82" s="4" t="s">
        <v>26</v>
      </c>
      <c r="P82" s="4" t="s">
        <v>26</v>
      </c>
      <c r="Q82" s="5" t="s">
        <v>26</v>
      </c>
      <c r="R82" s="4" t="s">
        <v>26</v>
      </c>
      <c r="S82" s="4" t="s">
        <v>26</v>
      </c>
      <c r="T82" s="4" t="s">
        <v>26</v>
      </c>
      <c r="U82" s="4" t="s">
        <v>26</v>
      </c>
    </row>
    <row r="83" spans="1:21" ht="16" x14ac:dyDescent="0.2">
      <c r="A83" s="3" t="s">
        <v>94</v>
      </c>
      <c r="B83" s="4">
        <v>934369840</v>
      </c>
      <c r="C83" s="4">
        <v>1450523000</v>
      </c>
      <c r="D83" s="4">
        <v>539830000</v>
      </c>
      <c r="E83" s="4">
        <v>464164000</v>
      </c>
      <c r="F83" s="4">
        <v>585478000</v>
      </c>
      <c r="G83" s="4">
        <v>747782000</v>
      </c>
      <c r="H83" s="4">
        <v>1110710000</v>
      </c>
      <c r="I83" s="4">
        <v>1380040000</v>
      </c>
      <c r="J83" s="4">
        <v>1551779000</v>
      </c>
      <c r="K83" s="4">
        <v>1451256000</v>
      </c>
      <c r="L83" s="4">
        <v>1823482000</v>
      </c>
      <c r="M83" s="4">
        <v>1646917000</v>
      </c>
      <c r="N83" s="4">
        <v>1644542000</v>
      </c>
      <c r="O83" s="4">
        <v>1566353000</v>
      </c>
      <c r="P83" s="4">
        <v>1626695000</v>
      </c>
      <c r="Q83" s="5">
        <v>1524070000</v>
      </c>
      <c r="R83" s="4">
        <v>1626695000</v>
      </c>
      <c r="S83" s="4">
        <v>1532604000</v>
      </c>
      <c r="T83" s="4">
        <v>1535484000</v>
      </c>
      <c r="U83" s="4">
        <v>1524070000</v>
      </c>
    </row>
    <row r="84" spans="1:21" ht="16" x14ac:dyDescent="0.2">
      <c r="A84" s="3" t="s">
        <v>95</v>
      </c>
      <c r="B84" s="4">
        <v>283343856</v>
      </c>
      <c r="C84" s="4">
        <v>97713000</v>
      </c>
      <c r="D84" s="4">
        <v>94270000</v>
      </c>
      <c r="E84" s="4">
        <v>98954000</v>
      </c>
      <c r="F84" s="4">
        <v>94327000</v>
      </c>
      <c r="G84" s="4">
        <v>194031000</v>
      </c>
      <c r="H84" s="4">
        <v>201102000</v>
      </c>
      <c r="I84" s="4">
        <v>217130000</v>
      </c>
      <c r="J84" s="4">
        <v>203310000</v>
      </c>
      <c r="K84" s="4">
        <v>70012000</v>
      </c>
      <c r="L84" s="4">
        <v>65602000</v>
      </c>
      <c r="M84" s="4">
        <v>60410000</v>
      </c>
      <c r="N84" s="4">
        <v>55822000</v>
      </c>
      <c r="O84" s="4">
        <v>51247000</v>
      </c>
      <c r="P84" s="4">
        <v>47117000</v>
      </c>
      <c r="Q84" s="5">
        <v>44397000</v>
      </c>
      <c r="R84" s="4">
        <v>47117000</v>
      </c>
      <c r="S84" s="4">
        <v>46202000</v>
      </c>
      <c r="T84" s="4">
        <v>45112000</v>
      </c>
      <c r="U84" s="4">
        <v>44397000</v>
      </c>
    </row>
    <row r="85" spans="1:21" ht="16" x14ac:dyDescent="0.2">
      <c r="A85" s="3" t="s">
        <v>96</v>
      </c>
      <c r="B85" s="4">
        <v>181901408</v>
      </c>
      <c r="C85" s="4" t="s">
        <v>26</v>
      </c>
      <c r="D85" s="4" t="s">
        <v>26</v>
      </c>
      <c r="E85" s="4" t="s">
        <v>26</v>
      </c>
      <c r="F85" s="4" t="s">
        <v>26</v>
      </c>
      <c r="G85" s="4">
        <v>93998000</v>
      </c>
      <c r="H85" s="4">
        <v>102526000</v>
      </c>
      <c r="I85" s="4">
        <v>122314000</v>
      </c>
      <c r="J85" s="4">
        <v>118664000</v>
      </c>
      <c r="K85" s="4" t="s">
        <v>26</v>
      </c>
      <c r="L85" s="4" t="s">
        <v>26</v>
      </c>
      <c r="M85" s="4" t="s">
        <v>26</v>
      </c>
      <c r="N85" s="4" t="s">
        <v>26</v>
      </c>
      <c r="O85" s="4" t="s">
        <v>26</v>
      </c>
      <c r="P85" s="4" t="s">
        <v>26</v>
      </c>
      <c r="Q85" s="5" t="s">
        <v>26</v>
      </c>
      <c r="R85" s="4" t="s">
        <v>26</v>
      </c>
      <c r="S85" s="4" t="s">
        <v>26</v>
      </c>
      <c r="T85" s="4" t="s">
        <v>26</v>
      </c>
      <c r="U85" s="4" t="s">
        <v>26</v>
      </c>
    </row>
    <row r="86" spans="1:21" ht="16" x14ac:dyDescent="0.2">
      <c r="A86" s="3" t="s">
        <v>97</v>
      </c>
      <c r="B86" s="4">
        <v>101442448</v>
      </c>
      <c r="C86" s="4">
        <v>97713000</v>
      </c>
      <c r="D86" s="4">
        <v>94270000</v>
      </c>
      <c r="E86" s="4">
        <v>98954000</v>
      </c>
      <c r="F86" s="4">
        <v>94327000</v>
      </c>
      <c r="G86" s="4">
        <v>100033000</v>
      </c>
      <c r="H86" s="4">
        <v>98576000</v>
      </c>
      <c r="I86" s="4">
        <v>94816000</v>
      </c>
      <c r="J86" s="4">
        <v>84646000</v>
      </c>
      <c r="K86" s="4">
        <v>70012000</v>
      </c>
      <c r="L86" s="4">
        <v>65602000</v>
      </c>
      <c r="M86" s="4">
        <v>60410000</v>
      </c>
      <c r="N86" s="4">
        <v>55822000</v>
      </c>
      <c r="O86" s="4">
        <v>51247000</v>
      </c>
      <c r="P86" s="4">
        <v>47117000</v>
      </c>
      <c r="Q86" s="5">
        <v>44397000</v>
      </c>
      <c r="R86" s="4">
        <v>47117000</v>
      </c>
      <c r="S86" s="4">
        <v>46202000</v>
      </c>
      <c r="T86" s="4">
        <v>45112000</v>
      </c>
      <c r="U86" s="4">
        <v>44397000</v>
      </c>
    </row>
    <row r="87" spans="1:21" ht="16" x14ac:dyDescent="0.2">
      <c r="A87" s="3" t="s">
        <v>98</v>
      </c>
      <c r="B87" s="4" t="s">
        <v>26</v>
      </c>
      <c r="C87" s="4" t="s">
        <v>26</v>
      </c>
      <c r="D87" s="4" t="s">
        <v>26</v>
      </c>
      <c r="E87" s="4" t="s">
        <v>26</v>
      </c>
      <c r="F87" s="4" t="s">
        <v>26</v>
      </c>
      <c r="G87" s="4" t="s">
        <v>26</v>
      </c>
      <c r="H87" s="4" t="s">
        <v>26</v>
      </c>
      <c r="I87" s="4" t="s">
        <v>26</v>
      </c>
      <c r="J87" s="4" t="s">
        <v>26</v>
      </c>
      <c r="K87" s="4" t="s">
        <v>26</v>
      </c>
      <c r="L87" s="4" t="s">
        <v>26</v>
      </c>
      <c r="M87" s="4" t="s">
        <v>26</v>
      </c>
      <c r="N87" s="4" t="s">
        <v>26</v>
      </c>
      <c r="O87" s="4" t="s">
        <v>26</v>
      </c>
      <c r="P87" s="4" t="s">
        <v>26</v>
      </c>
      <c r="Q87" s="5" t="s">
        <v>26</v>
      </c>
      <c r="R87" s="4" t="s">
        <v>26</v>
      </c>
      <c r="S87" s="4" t="s">
        <v>26</v>
      </c>
      <c r="T87" s="4" t="s">
        <v>26</v>
      </c>
      <c r="U87" s="4" t="s">
        <v>26</v>
      </c>
    </row>
    <row r="88" spans="1:21" ht="16" x14ac:dyDescent="0.2">
      <c r="A88" s="3" t="s">
        <v>99</v>
      </c>
      <c r="B88" s="4" t="s">
        <v>26</v>
      </c>
      <c r="C88" s="4" t="s">
        <v>26</v>
      </c>
      <c r="D88" s="4" t="s">
        <v>26</v>
      </c>
      <c r="E88" s="4" t="s">
        <v>26</v>
      </c>
      <c r="F88" s="4" t="s">
        <v>26</v>
      </c>
      <c r="G88" s="4" t="s">
        <v>26</v>
      </c>
      <c r="H88" s="4" t="s">
        <v>26</v>
      </c>
      <c r="I88" s="4" t="s">
        <v>26</v>
      </c>
      <c r="J88" s="4" t="s">
        <v>26</v>
      </c>
      <c r="K88" s="4" t="s">
        <v>26</v>
      </c>
      <c r="L88" s="4" t="s">
        <v>26</v>
      </c>
      <c r="M88" s="4" t="s">
        <v>26</v>
      </c>
      <c r="N88" s="4" t="s">
        <v>26</v>
      </c>
      <c r="O88" s="4" t="s">
        <v>26</v>
      </c>
      <c r="P88" s="4" t="s">
        <v>26</v>
      </c>
      <c r="Q88" s="5" t="s">
        <v>26</v>
      </c>
      <c r="R88" s="4" t="s">
        <v>26</v>
      </c>
      <c r="S88" s="4" t="s">
        <v>26</v>
      </c>
      <c r="T88" s="4" t="s">
        <v>26</v>
      </c>
      <c r="U88" s="4" t="s">
        <v>26</v>
      </c>
    </row>
    <row r="89" spans="1:21" ht="16" x14ac:dyDescent="0.2">
      <c r="A89" s="3" t="s">
        <v>100</v>
      </c>
      <c r="B89" s="4">
        <v>651025984</v>
      </c>
      <c r="C89" s="4">
        <v>1352810000</v>
      </c>
      <c r="D89" s="4">
        <v>445560000</v>
      </c>
      <c r="E89" s="4">
        <v>365210000</v>
      </c>
      <c r="F89" s="4">
        <v>491151000</v>
      </c>
      <c r="G89" s="4">
        <v>553751000</v>
      </c>
      <c r="H89" s="4">
        <v>909608000</v>
      </c>
      <c r="I89" s="4">
        <v>1162910000</v>
      </c>
      <c r="J89" s="4">
        <v>1348469000</v>
      </c>
      <c r="K89" s="4">
        <v>1381244000</v>
      </c>
      <c r="L89" s="4">
        <v>1757880000</v>
      </c>
      <c r="M89" s="4">
        <v>1586507000</v>
      </c>
      <c r="N89" s="4">
        <v>1588720000</v>
      </c>
      <c r="O89" s="4">
        <v>1515106000</v>
      </c>
      <c r="P89" s="4">
        <v>1579578000</v>
      </c>
      <c r="Q89" s="5">
        <v>1479673000</v>
      </c>
      <c r="R89" s="4">
        <v>1579578000</v>
      </c>
      <c r="S89" s="4">
        <v>1486402000</v>
      </c>
      <c r="T89" s="4">
        <v>1490372000</v>
      </c>
      <c r="U89" s="4">
        <v>1479673000</v>
      </c>
    </row>
    <row r="90" spans="1:21" ht="16" x14ac:dyDescent="0.2">
      <c r="A90" s="3" t="s">
        <v>101</v>
      </c>
      <c r="B90" s="4">
        <v>7010601020</v>
      </c>
      <c r="C90" s="4">
        <v>7342102000</v>
      </c>
      <c r="D90" s="4">
        <v>7671368000</v>
      </c>
      <c r="E90" s="4">
        <v>7801831000</v>
      </c>
      <c r="F90" s="4">
        <v>8215020000</v>
      </c>
      <c r="G90" s="4">
        <v>8039317000</v>
      </c>
      <c r="H90" s="4">
        <v>8472667000</v>
      </c>
      <c r="I90" s="4">
        <v>8794637000</v>
      </c>
      <c r="J90" s="4">
        <v>8249198000</v>
      </c>
      <c r="K90" s="4">
        <v>7778727000</v>
      </c>
      <c r="L90" s="4">
        <v>8018636000</v>
      </c>
      <c r="M90" s="4">
        <v>7427248000</v>
      </c>
      <c r="N90" s="4">
        <v>7580831000</v>
      </c>
      <c r="O90" s="4">
        <v>7517744000</v>
      </c>
      <c r="P90" s="4">
        <v>8632793000</v>
      </c>
      <c r="Q90" s="5">
        <v>8720210000</v>
      </c>
      <c r="R90" s="4">
        <v>8632793000</v>
      </c>
      <c r="S90" s="4">
        <v>8604011000</v>
      </c>
      <c r="T90" s="4">
        <v>8662771000</v>
      </c>
      <c r="U90" s="4">
        <v>8720210000</v>
      </c>
    </row>
    <row r="91" spans="1:21" ht="16" x14ac:dyDescent="0.2">
      <c r="A91" s="3" t="s">
        <v>102</v>
      </c>
      <c r="B91" s="4">
        <v>580903351</v>
      </c>
      <c r="C91" s="4">
        <v>558234000</v>
      </c>
      <c r="D91" s="4">
        <v>461682000</v>
      </c>
      <c r="E91" s="4">
        <v>496782000</v>
      </c>
      <c r="F91" s="4">
        <v>544911000</v>
      </c>
      <c r="G91" s="4">
        <v>532197000</v>
      </c>
      <c r="H91" s="4">
        <v>407556000</v>
      </c>
      <c r="I91" s="4">
        <v>413929000</v>
      </c>
      <c r="J91" s="4">
        <v>388892000</v>
      </c>
      <c r="K91" s="4">
        <v>318117000</v>
      </c>
      <c r="L91" s="4">
        <v>244387000</v>
      </c>
      <c r="M91" s="4">
        <v>188089000</v>
      </c>
      <c r="N91" s="4">
        <v>235129000</v>
      </c>
      <c r="O91" s="4">
        <v>344587000</v>
      </c>
      <c r="P91" s="4">
        <v>381212000</v>
      </c>
      <c r="Q91" s="5">
        <v>279532000</v>
      </c>
      <c r="R91" s="4">
        <v>381212000</v>
      </c>
      <c r="S91" s="4">
        <v>235385000</v>
      </c>
      <c r="T91" s="4">
        <v>279252000</v>
      </c>
      <c r="U91" s="4">
        <v>279532000</v>
      </c>
    </row>
    <row r="92" spans="1:21" ht="16" x14ac:dyDescent="0.2">
      <c r="A92" s="3" t="s">
        <v>103</v>
      </c>
      <c r="B92" s="4">
        <v>580903351</v>
      </c>
      <c r="C92" s="4">
        <v>534664000</v>
      </c>
      <c r="D92" s="4">
        <v>399035000</v>
      </c>
      <c r="E92" s="4">
        <v>312751000</v>
      </c>
      <c r="F92" s="4">
        <v>320991000</v>
      </c>
      <c r="G92" s="4">
        <v>346390000</v>
      </c>
      <c r="H92" s="4">
        <v>183120000</v>
      </c>
      <c r="I92" s="4">
        <v>199084000</v>
      </c>
      <c r="J92" s="4">
        <v>213481000</v>
      </c>
      <c r="K92" s="4">
        <v>177040000</v>
      </c>
      <c r="L92" s="4">
        <v>124390000</v>
      </c>
      <c r="M92" s="4">
        <v>100407000</v>
      </c>
      <c r="N92" s="4">
        <v>137190000</v>
      </c>
      <c r="O92" s="4">
        <v>213377000</v>
      </c>
      <c r="P92" s="4">
        <v>249962000</v>
      </c>
      <c r="Q92" s="5">
        <v>261805000</v>
      </c>
      <c r="R92" s="4">
        <v>249962000</v>
      </c>
      <c r="S92" s="4">
        <v>220037000</v>
      </c>
      <c r="T92" s="4">
        <v>265062000</v>
      </c>
      <c r="U92" s="4">
        <v>261805000</v>
      </c>
    </row>
    <row r="93" spans="1:21" ht="16" x14ac:dyDescent="0.2">
      <c r="A93" s="3" t="s">
        <v>104</v>
      </c>
      <c r="B93" s="4" t="s">
        <v>26</v>
      </c>
      <c r="C93" s="4">
        <v>31143000</v>
      </c>
      <c r="D93" s="4">
        <v>35042000</v>
      </c>
      <c r="E93" s="4">
        <v>39330000</v>
      </c>
      <c r="F93" s="4">
        <v>36600000</v>
      </c>
      <c r="G93" s="4">
        <v>54708000</v>
      </c>
      <c r="H93" s="4">
        <v>51719000</v>
      </c>
      <c r="I93" s="4">
        <v>56494000</v>
      </c>
      <c r="J93" s="4">
        <v>36413000</v>
      </c>
      <c r="K93" s="4">
        <v>20133000</v>
      </c>
      <c r="L93" s="4">
        <v>19633000</v>
      </c>
      <c r="M93" s="4">
        <v>6290000</v>
      </c>
      <c r="N93" s="4">
        <v>1480000</v>
      </c>
      <c r="O93" s="4">
        <v>4129000</v>
      </c>
      <c r="P93" s="4">
        <v>6498000</v>
      </c>
      <c r="Q93" s="5">
        <v>17727000</v>
      </c>
      <c r="R93" s="4">
        <v>6498000</v>
      </c>
      <c r="S93" s="4">
        <v>15348000</v>
      </c>
      <c r="T93" s="4">
        <v>14190000</v>
      </c>
      <c r="U93" s="4">
        <v>17727000</v>
      </c>
    </row>
    <row r="94" spans="1:21" ht="16" x14ac:dyDescent="0.2">
      <c r="A94" s="3" t="s">
        <v>105</v>
      </c>
      <c r="B94" s="4" t="s">
        <v>26</v>
      </c>
      <c r="C94" s="4" t="s">
        <v>26</v>
      </c>
      <c r="D94" s="4" t="s">
        <v>26</v>
      </c>
      <c r="E94" s="4" t="s">
        <v>26</v>
      </c>
      <c r="F94" s="4" t="s">
        <v>26</v>
      </c>
      <c r="G94" s="4" t="s">
        <v>26</v>
      </c>
      <c r="H94" s="4" t="s">
        <v>26</v>
      </c>
      <c r="I94" s="4" t="s">
        <v>26</v>
      </c>
      <c r="J94" s="4" t="s">
        <v>26</v>
      </c>
      <c r="K94" s="4" t="s">
        <v>26</v>
      </c>
      <c r="L94" s="4" t="s">
        <v>26</v>
      </c>
      <c r="M94" s="4" t="s">
        <v>26</v>
      </c>
      <c r="N94" s="4" t="s">
        <v>26</v>
      </c>
      <c r="O94" s="4" t="s">
        <v>26</v>
      </c>
      <c r="P94" s="4" t="s">
        <v>26</v>
      </c>
      <c r="Q94" s="5" t="s">
        <v>26</v>
      </c>
      <c r="R94" s="4" t="s">
        <v>26</v>
      </c>
      <c r="S94" s="4" t="s">
        <v>26</v>
      </c>
      <c r="T94" s="4" t="s">
        <v>26</v>
      </c>
      <c r="U94" s="4" t="s">
        <v>26</v>
      </c>
    </row>
    <row r="95" spans="1:21" ht="16" x14ac:dyDescent="0.2">
      <c r="A95" s="3" t="s">
        <v>106</v>
      </c>
      <c r="B95" s="4" t="s">
        <v>26</v>
      </c>
      <c r="C95" s="4">
        <v>-7573000</v>
      </c>
      <c r="D95" s="4">
        <v>27605000</v>
      </c>
      <c r="E95" s="4">
        <v>144701000</v>
      </c>
      <c r="F95" s="4">
        <v>187320000</v>
      </c>
      <c r="G95" s="4">
        <v>131099000</v>
      </c>
      <c r="H95" s="4">
        <v>172717000</v>
      </c>
      <c r="I95" s="4">
        <v>158351000</v>
      </c>
      <c r="J95" s="4">
        <v>138998000</v>
      </c>
      <c r="K95" s="4">
        <v>120944000</v>
      </c>
      <c r="L95" s="4">
        <v>100364000</v>
      </c>
      <c r="M95" s="4">
        <v>81392000</v>
      </c>
      <c r="N95" s="4">
        <v>96459000</v>
      </c>
      <c r="O95" s="4">
        <v>127081000</v>
      </c>
      <c r="P95" s="4">
        <v>124752000</v>
      </c>
      <c r="Q95" s="5" t="s">
        <v>26</v>
      </c>
      <c r="R95" s="4">
        <v>124752000</v>
      </c>
      <c r="S95" s="4" t="s">
        <v>26</v>
      </c>
      <c r="T95" s="4" t="s">
        <v>26</v>
      </c>
      <c r="U95" s="4" t="s">
        <v>26</v>
      </c>
    </row>
    <row r="96" spans="1:21" ht="16" x14ac:dyDescent="0.2">
      <c r="A96" s="3" t="s">
        <v>107</v>
      </c>
      <c r="B96" s="4">
        <v>99991501</v>
      </c>
      <c r="C96" s="4">
        <v>88391000</v>
      </c>
      <c r="D96" s="4">
        <v>86125000</v>
      </c>
      <c r="E96" s="4">
        <v>106555000</v>
      </c>
      <c r="F96" s="4">
        <v>122927000</v>
      </c>
      <c r="G96" s="4">
        <v>91456000</v>
      </c>
      <c r="H96" s="4">
        <v>0</v>
      </c>
      <c r="I96" s="4">
        <v>0</v>
      </c>
      <c r="J96" s="4">
        <v>0</v>
      </c>
      <c r="K96" s="4">
        <v>0</v>
      </c>
      <c r="L96" s="4">
        <v>499599000</v>
      </c>
      <c r="M96" s="4">
        <v>0</v>
      </c>
      <c r="N96" s="4">
        <v>26119000</v>
      </c>
      <c r="O96" s="4">
        <v>0</v>
      </c>
      <c r="P96" s="4">
        <v>0</v>
      </c>
      <c r="Q96" s="5">
        <v>499717000</v>
      </c>
      <c r="R96" s="4">
        <v>0</v>
      </c>
      <c r="S96" s="4">
        <v>0</v>
      </c>
      <c r="T96" s="4">
        <v>499614000</v>
      </c>
      <c r="U96" s="4">
        <v>499717000</v>
      </c>
    </row>
    <row r="97" spans="1:21" ht="16" x14ac:dyDescent="0.2">
      <c r="A97" s="3" t="s">
        <v>108</v>
      </c>
      <c r="B97" s="4">
        <v>99991501</v>
      </c>
      <c r="C97" s="4">
        <v>88391000</v>
      </c>
      <c r="D97" s="4">
        <v>86125000</v>
      </c>
      <c r="E97" s="4">
        <v>91703000</v>
      </c>
      <c r="F97" s="4">
        <v>106590000</v>
      </c>
      <c r="G97" s="4">
        <v>91456000</v>
      </c>
      <c r="H97" s="4" t="s">
        <v>26</v>
      </c>
      <c r="I97" s="4" t="s">
        <v>26</v>
      </c>
      <c r="J97" s="4" t="s">
        <v>26</v>
      </c>
      <c r="K97" s="4" t="s">
        <v>26</v>
      </c>
      <c r="L97" s="4">
        <v>499599000</v>
      </c>
      <c r="M97" s="4" t="s">
        <v>26</v>
      </c>
      <c r="N97" s="4">
        <v>26119000</v>
      </c>
      <c r="O97" s="4" t="s">
        <v>26</v>
      </c>
      <c r="P97" s="4" t="s">
        <v>26</v>
      </c>
      <c r="Q97" s="5">
        <v>499717000</v>
      </c>
      <c r="R97" s="4" t="s">
        <v>26</v>
      </c>
      <c r="S97" s="4" t="s">
        <v>26</v>
      </c>
      <c r="T97" s="4">
        <v>499614000</v>
      </c>
      <c r="U97" s="4">
        <v>499717000</v>
      </c>
    </row>
    <row r="98" spans="1:21" ht="16" x14ac:dyDescent="0.2">
      <c r="A98" s="3" t="s">
        <v>109</v>
      </c>
      <c r="B98" s="4" t="s">
        <v>26</v>
      </c>
      <c r="C98" s="4" t="s">
        <v>26</v>
      </c>
      <c r="D98" s="4">
        <v>13177000</v>
      </c>
      <c r="E98" s="4">
        <v>14852000</v>
      </c>
      <c r="F98" s="4">
        <v>16337000</v>
      </c>
      <c r="G98" s="4" t="s">
        <v>26</v>
      </c>
      <c r="H98" s="4" t="s">
        <v>26</v>
      </c>
      <c r="I98" s="4" t="s">
        <v>26</v>
      </c>
      <c r="J98" s="4" t="s">
        <v>26</v>
      </c>
      <c r="K98" s="4" t="s">
        <v>26</v>
      </c>
      <c r="L98" s="4" t="s">
        <v>26</v>
      </c>
      <c r="M98" s="4" t="s">
        <v>26</v>
      </c>
      <c r="N98" s="4" t="s">
        <v>26</v>
      </c>
      <c r="O98" s="4" t="s">
        <v>26</v>
      </c>
      <c r="P98" s="4" t="s">
        <v>26</v>
      </c>
      <c r="Q98" s="5" t="s">
        <v>26</v>
      </c>
      <c r="R98" s="4" t="s">
        <v>26</v>
      </c>
      <c r="S98" s="4" t="s">
        <v>26</v>
      </c>
      <c r="T98" s="4" t="s">
        <v>26</v>
      </c>
      <c r="U98" s="4" t="s">
        <v>26</v>
      </c>
    </row>
    <row r="99" spans="1:21" ht="16" x14ac:dyDescent="0.2">
      <c r="A99" s="3" t="s">
        <v>110</v>
      </c>
      <c r="B99" s="4">
        <v>208022098</v>
      </c>
      <c r="C99" s="4">
        <v>116432000</v>
      </c>
      <c r="D99" s="4">
        <v>56902000</v>
      </c>
      <c r="E99" s="4">
        <v>104682000</v>
      </c>
      <c r="F99" s="4">
        <v>39974000</v>
      </c>
      <c r="G99" s="4">
        <v>80898000</v>
      </c>
      <c r="H99" s="4">
        <v>108258000</v>
      </c>
      <c r="I99" s="4">
        <v>257708000</v>
      </c>
      <c r="J99" s="4">
        <v>80363000</v>
      </c>
      <c r="K99" s="4">
        <v>92877000</v>
      </c>
      <c r="L99" s="4">
        <v>131889000</v>
      </c>
      <c r="M99" s="4">
        <v>89321000</v>
      </c>
      <c r="N99" s="4">
        <v>42535000</v>
      </c>
      <c r="O99" s="4">
        <v>69156000</v>
      </c>
      <c r="P99" s="4">
        <v>179629000</v>
      </c>
      <c r="Q99" s="5">
        <v>177121000</v>
      </c>
      <c r="R99" s="4">
        <v>179629000</v>
      </c>
      <c r="S99" s="4">
        <v>201918000</v>
      </c>
      <c r="T99" s="4">
        <v>208514000</v>
      </c>
      <c r="U99" s="4">
        <v>177121000</v>
      </c>
    </row>
    <row r="100" spans="1:21" ht="16" x14ac:dyDescent="0.2">
      <c r="A100" s="3" t="s">
        <v>111</v>
      </c>
      <c r="B100" s="4" t="s">
        <v>26</v>
      </c>
      <c r="C100" s="4" t="s">
        <v>26</v>
      </c>
      <c r="D100" s="4" t="s">
        <v>26</v>
      </c>
      <c r="E100" s="4" t="s">
        <v>26</v>
      </c>
      <c r="F100" s="4" t="s">
        <v>26</v>
      </c>
      <c r="G100" s="4" t="s">
        <v>26</v>
      </c>
      <c r="H100" s="4" t="s">
        <v>26</v>
      </c>
      <c r="I100" s="4" t="s">
        <v>26</v>
      </c>
      <c r="J100" s="4" t="s">
        <v>26</v>
      </c>
      <c r="K100" s="4" t="s">
        <v>26</v>
      </c>
      <c r="L100" s="4" t="s">
        <v>26</v>
      </c>
      <c r="M100" s="4" t="s">
        <v>26</v>
      </c>
      <c r="N100" s="4" t="s">
        <v>26</v>
      </c>
      <c r="O100" s="4" t="s">
        <v>26</v>
      </c>
      <c r="P100" s="4" t="s">
        <v>26</v>
      </c>
      <c r="Q100" s="5" t="s">
        <v>26</v>
      </c>
      <c r="R100" s="4" t="s">
        <v>26</v>
      </c>
      <c r="S100" s="4" t="s">
        <v>26</v>
      </c>
      <c r="T100" s="4" t="s">
        <v>26</v>
      </c>
      <c r="U100" s="4" t="s">
        <v>26</v>
      </c>
    </row>
    <row r="101" spans="1:21" ht="16" x14ac:dyDescent="0.2">
      <c r="A101" s="3" t="s">
        <v>112</v>
      </c>
      <c r="B101" s="4" t="s">
        <v>26</v>
      </c>
      <c r="C101" s="4" t="s">
        <v>26</v>
      </c>
      <c r="D101" s="4" t="s">
        <v>26</v>
      </c>
      <c r="E101" s="4" t="s">
        <v>26</v>
      </c>
      <c r="F101" s="4" t="s">
        <v>26</v>
      </c>
      <c r="G101" s="4" t="s">
        <v>26</v>
      </c>
      <c r="H101" s="4" t="s">
        <v>26</v>
      </c>
      <c r="I101" s="4" t="s">
        <v>26</v>
      </c>
      <c r="J101" s="4" t="s">
        <v>26</v>
      </c>
      <c r="K101" s="4" t="s">
        <v>26</v>
      </c>
      <c r="L101" s="4" t="s">
        <v>26</v>
      </c>
      <c r="M101" s="4" t="s">
        <v>26</v>
      </c>
      <c r="N101" s="4" t="s">
        <v>26</v>
      </c>
      <c r="O101" s="4" t="s">
        <v>26</v>
      </c>
      <c r="P101" s="4" t="s">
        <v>26</v>
      </c>
      <c r="Q101" s="5" t="s">
        <v>26</v>
      </c>
      <c r="R101" s="4" t="s">
        <v>26</v>
      </c>
      <c r="S101" s="4" t="s">
        <v>26</v>
      </c>
      <c r="T101" s="4" t="s">
        <v>26</v>
      </c>
      <c r="U101" s="4" t="s">
        <v>26</v>
      </c>
    </row>
    <row r="102" spans="1:21" ht="16" x14ac:dyDescent="0.2">
      <c r="A102" s="3" t="s">
        <v>113</v>
      </c>
      <c r="B102" s="4">
        <v>68857455</v>
      </c>
      <c r="C102" s="4">
        <v>87135000</v>
      </c>
      <c r="D102" s="4">
        <v>28674000</v>
      </c>
      <c r="E102" s="4">
        <v>39330000</v>
      </c>
      <c r="F102" s="4" t="s">
        <v>26</v>
      </c>
      <c r="G102" s="4" t="s">
        <v>26</v>
      </c>
      <c r="H102" s="4" t="s">
        <v>26</v>
      </c>
      <c r="I102" s="4" t="s">
        <v>26</v>
      </c>
      <c r="J102" s="4" t="s">
        <v>26</v>
      </c>
      <c r="K102" s="4" t="s">
        <v>26</v>
      </c>
      <c r="L102" s="4" t="s">
        <v>26</v>
      </c>
      <c r="M102" s="4" t="s">
        <v>26</v>
      </c>
      <c r="N102" s="4" t="s">
        <v>26</v>
      </c>
      <c r="O102" s="4" t="s">
        <v>26</v>
      </c>
      <c r="P102" s="4" t="s">
        <v>26</v>
      </c>
      <c r="Q102" s="5" t="s">
        <v>26</v>
      </c>
      <c r="R102" s="4" t="s">
        <v>26</v>
      </c>
      <c r="S102" s="4" t="s">
        <v>26</v>
      </c>
      <c r="T102" s="4" t="s">
        <v>26</v>
      </c>
      <c r="U102" s="4" t="s">
        <v>26</v>
      </c>
    </row>
    <row r="103" spans="1:21" ht="16" x14ac:dyDescent="0.2">
      <c r="A103" s="3" t="s">
        <v>114</v>
      </c>
      <c r="B103" s="4">
        <v>139164643</v>
      </c>
      <c r="C103" s="4">
        <v>29297000</v>
      </c>
      <c r="D103" s="4">
        <v>28228000</v>
      </c>
      <c r="E103" s="4">
        <v>65352000</v>
      </c>
      <c r="F103" s="4">
        <v>39974000</v>
      </c>
      <c r="G103" s="4">
        <v>80898000</v>
      </c>
      <c r="H103" s="4">
        <v>108258000</v>
      </c>
      <c r="I103" s="4">
        <v>257708000</v>
      </c>
      <c r="J103" s="4">
        <v>80363000</v>
      </c>
      <c r="K103" s="4">
        <v>92877000</v>
      </c>
      <c r="L103" s="4">
        <v>131889000</v>
      </c>
      <c r="M103" s="4">
        <v>89321000</v>
      </c>
      <c r="N103" s="4">
        <v>42535000</v>
      </c>
      <c r="O103" s="4">
        <v>69156000</v>
      </c>
      <c r="P103" s="4">
        <v>179629000</v>
      </c>
      <c r="Q103" s="5">
        <v>177121000</v>
      </c>
      <c r="R103" s="4">
        <v>179629000</v>
      </c>
      <c r="S103" s="4">
        <v>201918000</v>
      </c>
      <c r="T103" s="4">
        <v>208514000</v>
      </c>
      <c r="U103" s="4">
        <v>177121000</v>
      </c>
    </row>
    <row r="104" spans="1:21" ht="16" x14ac:dyDescent="0.2">
      <c r="A104" s="3" t="s">
        <v>115</v>
      </c>
      <c r="B104" s="4">
        <v>888916950</v>
      </c>
      <c r="C104" s="4">
        <v>763057000</v>
      </c>
      <c r="D104" s="4">
        <v>604709000</v>
      </c>
      <c r="E104" s="4">
        <v>708019000</v>
      </c>
      <c r="F104" s="4">
        <v>707812000</v>
      </c>
      <c r="G104" s="4">
        <v>704551000</v>
      </c>
      <c r="H104" s="4">
        <v>515814000</v>
      </c>
      <c r="I104" s="4">
        <v>671637000</v>
      </c>
      <c r="J104" s="4">
        <v>469255000</v>
      </c>
      <c r="K104" s="4">
        <v>410994000</v>
      </c>
      <c r="L104" s="4">
        <v>875875000</v>
      </c>
      <c r="M104" s="4">
        <v>277410000</v>
      </c>
      <c r="N104" s="4">
        <v>303783000</v>
      </c>
      <c r="O104" s="4">
        <v>413743000</v>
      </c>
      <c r="P104" s="4">
        <v>560841000</v>
      </c>
      <c r="Q104" s="5">
        <v>956370000</v>
      </c>
      <c r="R104" s="4">
        <v>560841000</v>
      </c>
      <c r="S104" s="4">
        <v>437303000</v>
      </c>
      <c r="T104" s="4">
        <v>987380000</v>
      </c>
      <c r="U104" s="4">
        <v>956370000</v>
      </c>
    </row>
    <row r="105" spans="1:21" ht="16" x14ac:dyDescent="0.2">
      <c r="A105" s="3" t="s">
        <v>116</v>
      </c>
      <c r="B105" s="4">
        <v>1212982030</v>
      </c>
      <c r="C105" s="4">
        <v>952853000</v>
      </c>
      <c r="D105" s="4">
        <v>940317000</v>
      </c>
      <c r="E105" s="4">
        <v>932253000</v>
      </c>
      <c r="F105" s="4">
        <v>1407116000</v>
      </c>
      <c r="G105" s="4">
        <v>1293383000</v>
      </c>
      <c r="H105" s="4">
        <v>1491198000</v>
      </c>
      <c r="I105" s="4">
        <v>1492237000</v>
      </c>
      <c r="J105" s="4">
        <v>1493327000</v>
      </c>
      <c r="K105" s="4">
        <v>1494471000</v>
      </c>
      <c r="L105" s="4">
        <v>996072000</v>
      </c>
      <c r="M105" s="4">
        <v>996718000</v>
      </c>
      <c r="N105" s="4">
        <v>995541000</v>
      </c>
      <c r="O105" s="4">
        <v>996250000</v>
      </c>
      <c r="P105" s="4">
        <v>997000000</v>
      </c>
      <c r="Q105" s="5">
        <v>497865000</v>
      </c>
      <c r="R105" s="4">
        <v>997000000</v>
      </c>
      <c r="S105" s="4">
        <v>997194000</v>
      </c>
      <c r="T105" s="4">
        <v>497774000</v>
      </c>
      <c r="U105" s="4">
        <v>497865000</v>
      </c>
    </row>
    <row r="106" spans="1:21" ht="16" x14ac:dyDescent="0.2">
      <c r="A106" s="3" t="s">
        <v>117</v>
      </c>
      <c r="B106" s="4">
        <v>1212982030</v>
      </c>
      <c r="C106" s="4">
        <v>952853000</v>
      </c>
      <c r="D106" s="4">
        <v>940317000</v>
      </c>
      <c r="E106" s="4">
        <v>801271000</v>
      </c>
      <c r="F106" s="4">
        <v>1292440000</v>
      </c>
      <c r="G106" s="4">
        <v>1293383000</v>
      </c>
      <c r="H106" s="4">
        <v>1491198000</v>
      </c>
      <c r="I106" s="4">
        <v>1492237000</v>
      </c>
      <c r="J106" s="4">
        <v>1493327000</v>
      </c>
      <c r="K106" s="4">
        <v>1494471000</v>
      </c>
      <c r="L106" s="4">
        <v>996072000</v>
      </c>
      <c r="M106" s="4">
        <v>996718000</v>
      </c>
      <c r="N106" s="4">
        <v>995541000</v>
      </c>
      <c r="O106" s="4">
        <v>996250000</v>
      </c>
      <c r="P106" s="4">
        <v>997000000</v>
      </c>
      <c r="Q106" s="5">
        <v>497865000</v>
      </c>
      <c r="R106" s="4">
        <v>997000000</v>
      </c>
      <c r="S106" s="4">
        <v>997194000</v>
      </c>
      <c r="T106" s="4">
        <v>497774000</v>
      </c>
      <c r="U106" s="4">
        <v>497865000</v>
      </c>
    </row>
    <row r="107" spans="1:21" ht="16" x14ac:dyDescent="0.2">
      <c r="A107" s="3" t="s">
        <v>118</v>
      </c>
      <c r="B107" s="4" t="s">
        <v>26</v>
      </c>
      <c r="C107" s="4" t="s">
        <v>26</v>
      </c>
      <c r="D107" s="4">
        <v>145834000</v>
      </c>
      <c r="E107" s="4">
        <v>130982000</v>
      </c>
      <c r="F107" s="4">
        <v>114676000</v>
      </c>
      <c r="G107" s="4" t="s">
        <v>26</v>
      </c>
      <c r="H107" s="4" t="s">
        <v>26</v>
      </c>
      <c r="I107" s="4" t="s">
        <v>26</v>
      </c>
      <c r="J107" s="4" t="s">
        <v>26</v>
      </c>
      <c r="K107" s="4" t="s">
        <v>26</v>
      </c>
      <c r="L107" s="4" t="s">
        <v>26</v>
      </c>
      <c r="M107" s="4" t="s">
        <v>26</v>
      </c>
      <c r="N107" s="4" t="s">
        <v>26</v>
      </c>
      <c r="O107" s="4" t="s">
        <v>26</v>
      </c>
      <c r="P107" s="4" t="s">
        <v>26</v>
      </c>
      <c r="Q107" s="5" t="s">
        <v>26</v>
      </c>
      <c r="R107" s="4" t="s">
        <v>26</v>
      </c>
      <c r="S107" s="4" t="s">
        <v>26</v>
      </c>
      <c r="T107" s="4" t="s">
        <v>26</v>
      </c>
      <c r="U107" s="4" t="s">
        <v>26</v>
      </c>
    </row>
    <row r="108" spans="1:21" ht="16" x14ac:dyDescent="0.2">
      <c r="A108" s="3" t="s">
        <v>119</v>
      </c>
      <c r="B108" s="4">
        <v>614575036</v>
      </c>
      <c r="C108" s="4">
        <v>618324000</v>
      </c>
      <c r="D108" s="4">
        <v>731876000</v>
      </c>
      <c r="E108" s="4">
        <v>1056054000</v>
      </c>
      <c r="F108" s="4">
        <v>1155825000</v>
      </c>
      <c r="G108" s="4">
        <v>691989000</v>
      </c>
      <c r="H108" s="4">
        <v>1021851000</v>
      </c>
      <c r="I108" s="4">
        <v>1085484000</v>
      </c>
      <c r="J108" s="4">
        <v>1028088000</v>
      </c>
      <c r="K108" s="4">
        <v>1013603000</v>
      </c>
      <c r="L108" s="4">
        <v>1153097000</v>
      </c>
      <c r="M108" s="4">
        <v>1158157000</v>
      </c>
      <c r="N108" s="4">
        <v>1322946000</v>
      </c>
      <c r="O108" s="4">
        <v>1261783000</v>
      </c>
      <c r="P108" s="4">
        <v>1238887000</v>
      </c>
      <c r="Q108" s="5">
        <v>1155078000</v>
      </c>
      <c r="R108" s="4">
        <v>1238887000</v>
      </c>
      <c r="S108" s="4">
        <v>1213060000</v>
      </c>
      <c r="T108" s="4">
        <v>1203392000</v>
      </c>
      <c r="U108" s="4">
        <v>1155078000</v>
      </c>
    </row>
    <row r="109" spans="1:21" ht="16" x14ac:dyDescent="0.2">
      <c r="A109" s="3" t="s">
        <v>120</v>
      </c>
      <c r="B109" s="4">
        <v>81352598</v>
      </c>
      <c r="C109" s="4">
        <v>134356000</v>
      </c>
      <c r="D109" s="4">
        <v>208044000</v>
      </c>
      <c r="E109" s="4">
        <v>8165000</v>
      </c>
      <c r="F109" s="4">
        <v>5773000</v>
      </c>
      <c r="G109" s="4">
        <v>41909000</v>
      </c>
      <c r="H109" s="4">
        <v>23882000</v>
      </c>
      <c r="I109" s="4">
        <v>35179000</v>
      </c>
      <c r="J109" s="4">
        <v>15937000</v>
      </c>
      <c r="K109" s="4">
        <v>12467000</v>
      </c>
      <c r="L109" s="4" t="s">
        <v>26</v>
      </c>
      <c r="M109" s="4" t="s">
        <v>26</v>
      </c>
      <c r="N109" s="4" t="s">
        <v>26</v>
      </c>
      <c r="O109" s="4" t="s">
        <v>26</v>
      </c>
      <c r="P109" s="4" t="s">
        <v>26</v>
      </c>
      <c r="Q109" s="5" t="s">
        <v>26</v>
      </c>
      <c r="R109" s="4" t="s">
        <v>26</v>
      </c>
      <c r="S109" s="4" t="s">
        <v>26</v>
      </c>
      <c r="T109" s="4" t="s">
        <v>26</v>
      </c>
      <c r="U109" s="4" t="s">
        <v>26</v>
      </c>
    </row>
    <row r="110" spans="1:21" ht="16" x14ac:dyDescent="0.2">
      <c r="A110" s="3" t="s">
        <v>121</v>
      </c>
      <c r="B110" s="4" t="s">
        <v>26</v>
      </c>
      <c r="C110" s="4" t="s">
        <v>26</v>
      </c>
      <c r="D110" s="4" t="s">
        <v>26</v>
      </c>
      <c r="E110" s="4" t="s">
        <v>26</v>
      </c>
      <c r="F110" s="4" t="s">
        <v>26</v>
      </c>
      <c r="G110" s="4" t="s">
        <v>26</v>
      </c>
      <c r="H110" s="4" t="s">
        <v>26</v>
      </c>
      <c r="I110" s="4" t="s">
        <v>26</v>
      </c>
      <c r="J110" s="4" t="s">
        <v>26</v>
      </c>
      <c r="K110" s="4" t="s">
        <v>26</v>
      </c>
      <c r="L110" s="4" t="s">
        <v>26</v>
      </c>
      <c r="M110" s="4" t="s">
        <v>26</v>
      </c>
      <c r="N110" s="4" t="s">
        <v>26</v>
      </c>
      <c r="O110" s="4" t="s">
        <v>26</v>
      </c>
      <c r="P110" s="4" t="s">
        <v>26</v>
      </c>
      <c r="Q110" s="5" t="s">
        <v>26</v>
      </c>
      <c r="R110" s="4" t="s">
        <v>26</v>
      </c>
      <c r="S110" s="4" t="s">
        <v>26</v>
      </c>
      <c r="T110" s="4" t="s">
        <v>26</v>
      </c>
      <c r="U110" s="4" t="s">
        <v>26</v>
      </c>
    </row>
    <row r="111" spans="1:21" ht="16" x14ac:dyDescent="0.2">
      <c r="A111" s="3" t="s">
        <v>111</v>
      </c>
      <c r="B111" s="4" t="s">
        <v>26</v>
      </c>
      <c r="C111" s="4" t="s">
        <v>26</v>
      </c>
      <c r="D111" s="4" t="s">
        <v>26</v>
      </c>
      <c r="E111" s="4" t="s">
        <v>26</v>
      </c>
      <c r="F111" s="4" t="s">
        <v>26</v>
      </c>
      <c r="G111" s="4" t="s">
        <v>26</v>
      </c>
      <c r="H111" s="4" t="s">
        <v>26</v>
      </c>
      <c r="I111" s="4" t="s">
        <v>26</v>
      </c>
      <c r="J111" s="4" t="s">
        <v>26</v>
      </c>
      <c r="K111" s="4" t="s">
        <v>26</v>
      </c>
      <c r="L111" s="4" t="s">
        <v>26</v>
      </c>
      <c r="M111" s="4" t="s">
        <v>26</v>
      </c>
      <c r="N111" s="4" t="s">
        <v>26</v>
      </c>
      <c r="O111" s="4" t="s">
        <v>26</v>
      </c>
      <c r="P111" s="4" t="s">
        <v>26</v>
      </c>
      <c r="Q111" s="5" t="s">
        <v>26</v>
      </c>
      <c r="R111" s="4" t="s">
        <v>26</v>
      </c>
      <c r="S111" s="4" t="s">
        <v>26</v>
      </c>
      <c r="T111" s="4" t="s">
        <v>26</v>
      </c>
      <c r="U111" s="4" t="s">
        <v>26</v>
      </c>
    </row>
    <row r="112" spans="1:21" ht="16" x14ac:dyDescent="0.2">
      <c r="A112" s="3" t="s">
        <v>113</v>
      </c>
      <c r="B112" s="4" t="s">
        <v>26</v>
      </c>
      <c r="C112" s="4" t="s">
        <v>26</v>
      </c>
      <c r="D112" s="4" t="s">
        <v>26</v>
      </c>
      <c r="E112" s="4" t="s">
        <v>26</v>
      </c>
      <c r="F112" s="4" t="s">
        <v>26</v>
      </c>
      <c r="G112" s="4" t="s">
        <v>26</v>
      </c>
      <c r="H112" s="4" t="s">
        <v>26</v>
      </c>
      <c r="I112" s="4" t="s">
        <v>26</v>
      </c>
      <c r="J112" s="4" t="s">
        <v>26</v>
      </c>
      <c r="K112" s="4" t="s">
        <v>26</v>
      </c>
      <c r="L112" s="4" t="s">
        <v>26</v>
      </c>
      <c r="M112" s="4" t="s">
        <v>26</v>
      </c>
      <c r="N112" s="4" t="s">
        <v>26</v>
      </c>
      <c r="O112" s="4" t="s">
        <v>26</v>
      </c>
      <c r="P112" s="4" t="s">
        <v>26</v>
      </c>
      <c r="Q112" s="5" t="s">
        <v>26</v>
      </c>
      <c r="R112" s="4" t="s">
        <v>26</v>
      </c>
      <c r="S112" s="4" t="s">
        <v>26</v>
      </c>
      <c r="T112" s="4" t="s">
        <v>26</v>
      </c>
      <c r="U112" s="4" t="s">
        <v>26</v>
      </c>
    </row>
    <row r="113" spans="1:21" ht="16" x14ac:dyDescent="0.2">
      <c r="A113" s="3" t="s">
        <v>112</v>
      </c>
      <c r="B113" s="4" t="s">
        <v>26</v>
      </c>
      <c r="C113" s="4" t="s">
        <v>26</v>
      </c>
      <c r="D113" s="4" t="s">
        <v>26</v>
      </c>
      <c r="E113" s="4" t="s">
        <v>26</v>
      </c>
      <c r="F113" s="4" t="s">
        <v>26</v>
      </c>
      <c r="G113" s="4" t="s">
        <v>26</v>
      </c>
      <c r="H113" s="4" t="s">
        <v>26</v>
      </c>
      <c r="I113" s="4" t="s">
        <v>26</v>
      </c>
      <c r="J113" s="4" t="s">
        <v>26</v>
      </c>
      <c r="K113" s="4" t="s">
        <v>26</v>
      </c>
      <c r="L113" s="4" t="s">
        <v>26</v>
      </c>
      <c r="M113" s="4" t="s">
        <v>26</v>
      </c>
      <c r="N113" s="4" t="s">
        <v>26</v>
      </c>
      <c r="O113" s="4" t="s">
        <v>26</v>
      </c>
      <c r="P113" s="4" t="s">
        <v>26</v>
      </c>
      <c r="Q113" s="5" t="s">
        <v>26</v>
      </c>
      <c r="R113" s="4" t="s">
        <v>26</v>
      </c>
      <c r="S113" s="4" t="s">
        <v>26</v>
      </c>
      <c r="T113" s="4" t="s">
        <v>26</v>
      </c>
      <c r="U113" s="4" t="s">
        <v>26</v>
      </c>
    </row>
    <row r="114" spans="1:21" ht="16" x14ac:dyDescent="0.2">
      <c r="A114" s="3" t="s">
        <v>122</v>
      </c>
      <c r="B114" s="4">
        <v>533222438</v>
      </c>
      <c r="C114" s="4">
        <v>483968000</v>
      </c>
      <c r="D114" s="4">
        <v>523832000</v>
      </c>
      <c r="E114" s="4">
        <v>1047889000</v>
      </c>
      <c r="F114" s="4">
        <v>1150052000</v>
      </c>
      <c r="G114" s="4">
        <v>650080000</v>
      </c>
      <c r="H114" s="4">
        <v>997969000</v>
      </c>
      <c r="I114" s="4">
        <v>1050305000</v>
      </c>
      <c r="J114" s="4">
        <v>1012151000</v>
      </c>
      <c r="K114" s="4">
        <v>1001136000</v>
      </c>
      <c r="L114" s="4">
        <v>1153097000</v>
      </c>
      <c r="M114" s="4">
        <v>1158157000</v>
      </c>
      <c r="N114" s="4">
        <v>1322946000</v>
      </c>
      <c r="O114" s="4">
        <v>1261783000</v>
      </c>
      <c r="P114" s="4">
        <v>1238887000</v>
      </c>
      <c r="Q114" s="5">
        <v>1155078000</v>
      </c>
      <c r="R114" s="4">
        <v>1238887000</v>
      </c>
      <c r="S114" s="4">
        <v>1213060000</v>
      </c>
      <c r="T114" s="4">
        <v>1203392000</v>
      </c>
      <c r="U114" s="4">
        <v>1155078000</v>
      </c>
    </row>
    <row r="115" spans="1:21" ht="16" x14ac:dyDescent="0.2">
      <c r="A115" s="3" t="s">
        <v>123</v>
      </c>
      <c r="B115" s="4">
        <v>1827557066</v>
      </c>
      <c r="C115" s="4">
        <v>1571177000</v>
      </c>
      <c r="D115" s="4">
        <v>1672193000</v>
      </c>
      <c r="E115" s="4">
        <v>1988307000</v>
      </c>
      <c r="F115" s="4">
        <v>2562941000</v>
      </c>
      <c r="G115" s="4">
        <v>1985372000</v>
      </c>
      <c r="H115" s="4">
        <v>2513049000</v>
      </c>
      <c r="I115" s="4">
        <v>2577721000</v>
      </c>
      <c r="J115" s="4">
        <v>2521415000</v>
      </c>
      <c r="K115" s="4">
        <v>2508074000</v>
      </c>
      <c r="L115" s="4">
        <v>2149169000</v>
      </c>
      <c r="M115" s="4">
        <v>2154875000</v>
      </c>
      <c r="N115" s="4">
        <v>2318487000</v>
      </c>
      <c r="O115" s="4">
        <v>2258033000</v>
      </c>
      <c r="P115" s="4">
        <v>2235887000</v>
      </c>
      <c r="Q115" s="5">
        <v>1652943000</v>
      </c>
      <c r="R115" s="4">
        <v>2235887000</v>
      </c>
      <c r="S115" s="4">
        <v>2210254000</v>
      </c>
      <c r="T115" s="4">
        <v>1701166000</v>
      </c>
      <c r="U115" s="4">
        <v>1652943000</v>
      </c>
    </row>
    <row r="116" spans="1:21" ht="16" x14ac:dyDescent="0.2">
      <c r="A116" s="3" t="s">
        <v>124</v>
      </c>
      <c r="B116" s="4">
        <v>2716474016</v>
      </c>
      <c r="C116" s="4">
        <v>2334234000</v>
      </c>
      <c r="D116" s="4">
        <v>2276902000</v>
      </c>
      <c r="E116" s="4">
        <v>2696326000</v>
      </c>
      <c r="F116" s="4">
        <v>3270753000</v>
      </c>
      <c r="G116" s="4">
        <v>2689923000</v>
      </c>
      <c r="H116" s="4">
        <v>3028863000</v>
      </c>
      <c r="I116" s="4">
        <v>3249358000</v>
      </c>
      <c r="J116" s="4">
        <v>2990670000</v>
      </c>
      <c r="K116" s="4">
        <v>2919068000</v>
      </c>
      <c r="L116" s="4">
        <v>3025044000</v>
      </c>
      <c r="M116" s="4">
        <v>2432285000</v>
      </c>
      <c r="N116" s="4">
        <v>2622270000</v>
      </c>
      <c r="O116" s="4">
        <v>2671776000</v>
      </c>
      <c r="P116" s="4">
        <v>2796728000</v>
      </c>
      <c r="Q116" s="5">
        <v>2609313000</v>
      </c>
      <c r="R116" s="4">
        <v>2796728000</v>
      </c>
      <c r="S116" s="4">
        <v>2647557000</v>
      </c>
      <c r="T116" s="4">
        <v>2688546000</v>
      </c>
      <c r="U116" s="4">
        <v>2609313000</v>
      </c>
    </row>
    <row r="117" spans="1:21" ht="16" x14ac:dyDescent="0.2">
      <c r="A117" s="3" t="s">
        <v>125</v>
      </c>
      <c r="B117" s="4" t="s">
        <v>26</v>
      </c>
      <c r="C117" s="4" t="s">
        <v>26</v>
      </c>
      <c r="D117" s="4" t="s">
        <v>26</v>
      </c>
      <c r="E117" s="4" t="s">
        <v>26</v>
      </c>
      <c r="F117" s="4" t="s">
        <v>26</v>
      </c>
      <c r="G117" s="4" t="s">
        <v>26</v>
      </c>
      <c r="H117" s="4" t="s">
        <v>26</v>
      </c>
      <c r="I117" s="4" t="s">
        <v>26</v>
      </c>
      <c r="J117" s="4" t="s">
        <v>26</v>
      </c>
      <c r="K117" s="4" t="s">
        <v>26</v>
      </c>
      <c r="L117" s="4" t="s">
        <v>26</v>
      </c>
      <c r="M117" s="4" t="s">
        <v>26</v>
      </c>
      <c r="N117" s="4" t="s">
        <v>26</v>
      </c>
      <c r="O117" s="4" t="s">
        <v>26</v>
      </c>
      <c r="P117" s="4" t="s">
        <v>26</v>
      </c>
      <c r="Q117" s="5" t="s">
        <v>26</v>
      </c>
      <c r="R117" s="4" t="s">
        <v>26</v>
      </c>
      <c r="S117" s="4" t="s">
        <v>26</v>
      </c>
      <c r="T117" s="4" t="s">
        <v>26</v>
      </c>
      <c r="U117" s="4" t="s">
        <v>26</v>
      </c>
    </row>
    <row r="118" spans="1:21" ht="16" x14ac:dyDescent="0.2">
      <c r="A118" s="3" t="s">
        <v>126</v>
      </c>
      <c r="B118" s="4">
        <v>1194571394</v>
      </c>
      <c r="C118" s="4">
        <v>3156499000</v>
      </c>
      <c r="D118" s="4">
        <v>1678233000</v>
      </c>
      <c r="E118" s="4">
        <v>3840335000</v>
      </c>
      <c r="F118" s="4">
        <v>2020459000</v>
      </c>
      <c r="G118" s="4">
        <v>2041053000</v>
      </c>
      <c r="H118" s="4">
        <v>2059461000</v>
      </c>
      <c r="I118" s="4">
        <v>2071761000</v>
      </c>
      <c r="J118" s="4">
        <v>2078859000</v>
      </c>
      <c r="K118" s="4">
        <v>2087464000</v>
      </c>
      <c r="L118" s="4">
        <v>2097634000</v>
      </c>
      <c r="M118" s="4">
        <v>2097430000</v>
      </c>
      <c r="N118" s="4">
        <v>2107068000</v>
      </c>
      <c r="O118" s="4">
        <v>2133396000</v>
      </c>
      <c r="P118" s="4">
        <v>3105023000</v>
      </c>
      <c r="Q118" s="5">
        <v>3124285000</v>
      </c>
      <c r="R118" s="4">
        <v>3105023000</v>
      </c>
      <c r="S118" s="4">
        <v>3109076000</v>
      </c>
      <c r="T118" s="4">
        <v>3114424000</v>
      </c>
      <c r="U118" s="4">
        <v>3124285000</v>
      </c>
    </row>
    <row r="119" spans="1:21" ht="16" x14ac:dyDescent="0.2">
      <c r="A119" s="3" t="s">
        <v>127</v>
      </c>
      <c r="B119" s="4" t="s">
        <v>26</v>
      </c>
      <c r="C119" s="4">
        <v>1512461000</v>
      </c>
      <c r="D119" s="4" t="s">
        <v>26</v>
      </c>
      <c r="E119" s="4">
        <v>1842289000</v>
      </c>
      <c r="F119" s="4">
        <v>1851507000</v>
      </c>
      <c r="G119" s="4">
        <v>1854671000</v>
      </c>
      <c r="H119" s="4">
        <v>1862646000</v>
      </c>
      <c r="I119" s="4">
        <v>1862646000</v>
      </c>
      <c r="J119" s="4">
        <v>1862646000</v>
      </c>
      <c r="K119" s="4">
        <v>1862652000</v>
      </c>
      <c r="L119" s="4">
        <v>1862652000</v>
      </c>
      <c r="M119" s="4">
        <v>1862749000</v>
      </c>
      <c r="N119" s="4">
        <v>1869710000</v>
      </c>
      <c r="O119" s="4">
        <v>1903357000</v>
      </c>
      <c r="P119" s="4">
        <v>2880336000</v>
      </c>
      <c r="Q119" s="5">
        <v>2908411000</v>
      </c>
      <c r="R119" s="4">
        <v>2880336000</v>
      </c>
      <c r="S119" s="4">
        <v>2892136000</v>
      </c>
      <c r="T119" s="4">
        <v>2897540000</v>
      </c>
      <c r="U119" s="4">
        <v>2908411000</v>
      </c>
    </row>
    <row r="120" spans="1:21" ht="16" x14ac:dyDescent="0.2">
      <c r="A120" s="3" t="s">
        <v>128</v>
      </c>
      <c r="B120" s="4">
        <v>1194571394</v>
      </c>
      <c r="C120" s="4">
        <v>1644038000</v>
      </c>
      <c r="D120" s="4">
        <v>1678233000</v>
      </c>
      <c r="E120" s="4">
        <v>1998046000</v>
      </c>
      <c r="F120" s="4">
        <v>168952000</v>
      </c>
      <c r="G120" s="4">
        <v>186382000</v>
      </c>
      <c r="H120" s="4">
        <v>196815000</v>
      </c>
      <c r="I120" s="4">
        <v>209115000</v>
      </c>
      <c r="J120" s="4">
        <v>216213000</v>
      </c>
      <c r="K120" s="4">
        <v>224812000</v>
      </c>
      <c r="L120" s="4">
        <v>234982000</v>
      </c>
      <c r="M120" s="4">
        <v>234681000</v>
      </c>
      <c r="N120" s="4">
        <v>237358000</v>
      </c>
      <c r="O120" s="4">
        <v>230039000</v>
      </c>
      <c r="P120" s="4">
        <v>224687000</v>
      </c>
      <c r="Q120" s="5">
        <v>215874000</v>
      </c>
      <c r="R120" s="4">
        <v>224687000</v>
      </c>
      <c r="S120" s="4">
        <v>216940000</v>
      </c>
      <c r="T120" s="4">
        <v>216884000</v>
      </c>
      <c r="U120" s="4">
        <v>215874000</v>
      </c>
    </row>
    <row r="121" spans="1:21" ht="16" x14ac:dyDescent="0.2">
      <c r="A121" s="3" t="s">
        <v>129</v>
      </c>
      <c r="B121" s="4" t="s">
        <v>26</v>
      </c>
      <c r="C121" s="4" t="s">
        <v>26</v>
      </c>
      <c r="D121" s="4" t="s">
        <v>26</v>
      </c>
      <c r="E121" s="4" t="s">
        <v>26</v>
      </c>
      <c r="F121" s="4" t="s">
        <v>26</v>
      </c>
      <c r="G121" s="4" t="s">
        <v>26</v>
      </c>
      <c r="H121" s="4" t="s">
        <v>26</v>
      </c>
      <c r="I121" s="4" t="s">
        <v>26</v>
      </c>
      <c r="J121" s="4" t="s">
        <v>26</v>
      </c>
      <c r="K121" s="4" t="s">
        <v>26</v>
      </c>
      <c r="L121" s="4" t="s">
        <v>26</v>
      </c>
      <c r="M121" s="4" t="s">
        <v>26</v>
      </c>
      <c r="N121" s="4" t="s">
        <v>26</v>
      </c>
      <c r="O121" s="4" t="s">
        <v>26</v>
      </c>
      <c r="P121" s="4" t="s">
        <v>26</v>
      </c>
      <c r="Q121" s="5" t="s">
        <v>26</v>
      </c>
      <c r="R121" s="4" t="s">
        <v>26</v>
      </c>
      <c r="S121" s="4" t="s">
        <v>26</v>
      </c>
      <c r="T121" s="4" t="s">
        <v>26</v>
      </c>
      <c r="U121" s="4" t="s">
        <v>26</v>
      </c>
    </row>
    <row r="122" spans="1:21" ht="16" x14ac:dyDescent="0.2">
      <c r="A122" s="3" t="s">
        <v>130</v>
      </c>
      <c r="B122" s="4">
        <v>2153314716</v>
      </c>
      <c r="C122" s="4">
        <v>3158506000</v>
      </c>
      <c r="D122" s="4">
        <v>3563089000</v>
      </c>
      <c r="E122" s="4">
        <v>2874973000</v>
      </c>
      <c r="F122" s="4">
        <v>2915437000</v>
      </c>
      <c r="G122" s="4">
        <v>3314049000</v>
      </c>
      <c r="H122" s="4">
        <v>3333099000</v>
      </c>
      <c r="I122" s="4">
        <v>3241902000</v>
      </c>
      <c r="J122" s="4">
        <v>3019872000</v>
      </c>
      <c r="K122" s="4">
        <v>2650417000</v>
      </c>
      <c r="L122" s="4">
        <v>2791321000</v>
      </c>
      <c r="M122" s="4">
        <v>2825596000</v>
      </c>
      <c r="N122" s="4">
        <v>2735830000</v>
      </c>
      <c r="O122" s="4">
        <v>2639650000</v>
      </c>
      <c r="P122" s="4">
        <v>2696379000</v>
      </c>
      <c r="Q122" s="5">
        <v>2977123000</v>
      </c>
      <c r="R122" s="4">
        <v>2696379000</v>
      </c>
      <c r="S122" s="4">
        <v>2815351000</v>
      </c>
      <c r="T122" s="4">
        <v>2829044000</v>
      </c>
      <c r="U122" s="4">
        <v>2977123000</v>
      </c>
    </row>
    <row r="123" spans="1:21" ht="16" x14ac:dyDescent="0.2">
      <c r="A123" s="3" t="s">
        <v>131</v>
      </c>
      <c r="B123" s="4">
        <v>167036183</v>
      </c>
      <c r="C123" s="4">
        <v>41284000</v>
      </c>
      <c r="D123" s="4">
        <v>-24995000</v>
      </c>
      <c r="E123" s="4" t="s">
        <v>26</v>
      </c>
      <c r="F123" s="4" t="s">
        <v>26</v>
      </c>
      <c r="G123" s="4" t="s">
        <v>26</v>
      </c>
      <c r="H123" s="4" t="s">
        <v>26</v>
      </c>
      <c r="I123" s="4" t="s">
        <v>26</v>
      </c>
      <c r="J123" s="4" t="s">
        <v>26</v>
      </c>
      <c r="K123" s="4" t="s">
        <v>26</v>
      </c>
      <c r="L123" s="4" t="s">
        <v>26</v>
      </c>
      <c r="M123" s="4" t="s">
        <v>26</v>
      </c>
      <c r="N123" s="4" t="s">
        <v>26</v>
      </c>
      <c r="O123" s="4" t="s">
        <v>26</v>
      </c>
      <c r="P123" s="4" t="s">
        <v>26</v>
      </c>
      <c r="Q123" s="5" t="s">
        <v>26</v>
      </c>
      <c r="R123" s="4" t="s">
        <v>26</v>
      </c>
      <c r="S123" s="4" t="s">
        <v>26</v>
      </c>
      <c r="T123" s="4" t="s">
        <v>26</v>
      </c>
      <c r="U123" s="4" t="s">
        <v>26</v>
      </c>
    </row>
    <row r="124" spans="1:21" ht="16" x14ac:dyDescent="0.2">
      <c r="A124" s="3" t="s">
        <v>132</v>
      </c>
      <c r="B124" s="4">
        <v>3514923507</v>
      </c>
      <c r="C124" s="4">
        <v>4843828000</v>
      </c>
      <c r="D124" s="4">
        <v>5216327000</v>
      </c>
      <c r="E124" s="4">
        <v>4919567000</v>
      </c>
      <c r="F124" s="4">
        <v>4943687000</v>
      </c>
      <c r="G124" s="4">
        <v>5348265000</v>
      </c>
      <c r="H124" s="4">
        <v>5443644000</v>
      </c>
      <c r="I124" s="4">
        <v>5547020000</v>
      </c>
      <c r="J124" s="4">
        <v>5258371000</v>
      </c>
      <c r="K124" s="4">
        <v>4859288000</v>
      </c>
      <c r="L124" s="4">
        <v>4993282000</v>
      </c>
      <c r="M124" s="4">
        <v>4994725000</v>
      </c>
      <c r="N124" s="4">
        <v>4958355000</v>
      </c>
      <c r="O124" s="4">
        <v>4845841000</v>
      </c>
      <c r="P124" s="4">
        <v>5836054000</v>
      </c>
      <c r="Q124" s="5">
        <v>6110880000</v>
      </c>
      <c r="R124" s="4">
        <v>5836054000</v>
      </c>
      <c r="S124" s="4">
        <v>5956448000</v>
      </c>
      <c r="T124" s="4">
        <v>5974219000</v>
      </c>
      <c r="U124" s="4">
        <v>6110880000</v>
      </c>
    </row>
    <row r="125" spans="1:21" ht="16" x14ac:dyDescent="0.2">
      <c r="A125" s="3" t="s">
        <v>133</v>
      </c>
      <c r="B125" s="4">
        <v>779203497</v>
      </c>
      <c r="C125" s="4">
        <v>164040000</v>
      </c>
      <c r="D125" s="4">
        <v>178139000</v>
      </c>
      <c r="E125" s="4">
        <v>185938000</v>
      </c>
      <c r="F125" s="4">
        <v>580000</v>
      </c>
      <c r="G125" s="4">
        <v>1129000</v>
      </c>
      <c r="H125" s="4">
        <v>160000</v>
      </c>
      <c r="I125" s="4">
        <v>-1741000</v>
      </c>
      <c r="J125" s="4">
        <v>157000</v>
      </c>
      <c r="K125" s="4">
        <v>371000</v>
      </c>
      <c r="L125" s="4">
        <v>310000</v>
      </c>
      <c r="M125" s="4">
        <v>238000</v>
      </c>
      <c r="N125" s="4">
        <v>206000</v>
      </c>
      <c r="O125" s="4">
        <v>127000</v>
      </c>
      <c r="P125" s="4">
        <v>11000</v>
      </c>
      <c r="Q125" s="5">
        <v>17000</v>
      </c>
      <c r="R125" s="4">
        <v>11000</v>
      </c>
      <c r="S125" s="4">
        <v>6000</v>
      </c>
      <c r="T125" s="4">
        <v>6000</v>
      </c>
      <c r="U125" s="4">
        <v>17000</v>
      </c>
    </row>
    <row r="126" spans="1:21" ht="16" x14ac:dyDescent="0.2">
      <c r="A126" s="3" t="s">
        <v>134</v>
      </c>
      <c r="B126" s="4">
        <v>4294127004</v>
      </c>
      <c r="C126" s="4">
        <v>5007868000</v>
      </c>
      <c r="D126" s="4">
        <v>5394466000</v>
      </c>
      <c r="E126" s="4">
        <v>5105505000</v>
      </c>
      <c r="F126" s="4">
        <v>4944267000</v>
      </c>
      <c r="G126" s="4">
        <v>5349394000</v>
      </c>
      <c r="H126" s="4">
        <v>5443804000</v>
      </c>
      <c r="I126" s="4">
        <v>5545279000</v>
      </c>
      <c r="J126" s="4">
        <v>5258528000</v>
      </c>
      <c r="K126" s="4">
        <v>4859659000</v>
      </c>
      <c r="L126" s="4">
        <v>4993592000</v>
      </c>
      <c r="M126" s="4">
        <v>4994963000</v>
      </c>
      <c r="N126" s="4">
        <v>4958561000</v>
      </c>
      <c r="O126" s="4">
        <v>4845968000</v>
      </c>
      <c r="P126" s="4">
        <v>5836065000</v>
      </c>
      <c r="Q126" s="5">
        <v>6110897000</v>
      </c>
      <c r="R126" s="4">
        <v>5836065000</v>
      </c>
      <c r="S126" s="4">
        <v>5956454000</v>
      </c>
      <c r="T126" s="4">
        <v>5974225000</v>
      </c>
      <c r="U126" s="4">
        <v>6110897000</v>
      </c>
    </row>
    <row r="127" spans="1:21" ht="16" x14ac:dyDescent="0.2">
      <c r="A127" s="3" t="s">
        <v>135</v>
      </c>
      <c r="B127" s="4">
        <v>7010601020</v>
      </c>
      <c r="C127" s="4">
        <v>7342102000</v>
      </c>
      <c r="D127" s="4">
        <v>7671368000</v>
      </c>
      <c r="E127" s="4">
        <v>7801831000</v>
      </c>
      <c r="F127" s="4">
        <v>8215020000</v>
      </c>
      <c r="G127" s="4">
        <v>8039317000</v>
      </c>
      <c r="H127" s="4">
        <v>8472667000</v>
      </c>
      <c r="I127" s="4">
        <v>8794637000</v>
      </c>
      <c r="J127" s="4">
        <v>8249198000</v>
      </c>
      <c r="K127" s="4">
        <v>7778727000</v>
      </c>
      <c r="L127" s="4">
        <v>8018636000</v>
      </c>
      <c r="M127" s="4">
        <v>7427248000</v>
      </c>
      <c r="N127" s="4">
        <v>7580831000</v>
      </c>
      <c r="O127" s="4">
        <v>7517744000</v>
      </c>
      <c r="P127" s="4">
        <v>8632793000</v>
      </c>
      <c r="Q127" s="5">
        <v>8720210000</v>
      </c>
      <c r="R127" s="4">
        <v>8632793000</v>
      </c>
      <c r="S127" s="4">
        <v>8604011000</v>
      </c>
      <c r="T127" s="4">
        <v>8662771000</v>
      </c>
      <c r="U127" s="4">
        <v>8720210000</v>
      </c>
    </row>
    <row r="128" spans="1:21" ht="16" x14ac:dyDescent="0.2">
      <c r="A128" s="27" t="s">
        <v>136</v>
      </c>
      <c r="B128" s="25">
        <v>365719000</v>
      </c>
      <c r="C128" s="25">
        <v>392839000</v>
      </c>
      <c r="D128" s="25">
        <v>394351000</v>
      </c>
      <c r="E128" s="25">
        <v>394745000</v>
      </c>
      <c r="F128" s="25">
        <v>395350000</v>
      </c>
      <c r="G128" s="25">
        <v>395477000</v>
      </c>
      <c r="H128" s="25">
        <v>395793000</v>
      </c>
      <c r="I128" s="25">
        <v>395793000</v>
      </c>
      <c r="J128" s="25">
        <v>395793000</v>
      </c>
      <c r="K128" s="25">
        <v>395793000</v>
      </c>
      <c r="L128" s="25">
        <v>395793000</v>
      </c>
      <c r="M128" s="25">
        <v>395798000</v>
      </c>
      <c r="N128" s="25">
        <v>396263000</v>
      </c>
      <c r="O128" s="25">
        <v>398059000</v>
      </c>
      <c r="P128" s="25">
        <v>432518000</v>
      </c>
      <c r="Q128" s="26">
        <v>433865000</v>
      </c>
      <c r="R128" s="25">
        <v>432518000</v>
      </c>
      <c r="S128" s="25">
        <v>433032000</v>
      </c>
      <c r="T128" s="25">
        <v>433308000</v>
      </c>
      <c r="U128" s="25">
        <v>433865000</v>
      </c>
    </row>
    <row r="129" spans="1:21" ht="16" x14ac:dyDescent="0.2">
      <c r="A129" s="13" t="s">
        <v>199</v>
      </c>
      <c r="B129" s="10"/>
      <c r="C129" s="19">
        <f>(C128/B128)-1</f>
        <v>7.4155294091912127E-2</v>
      </c>
      <c r="D129" s="19">
        <f>(D128/C128)-1</f>
        <v>3.848905022159288E-3</v>
      </c>
      <c r="E129" s="19">
        <f>(E128/D128)-1</f>
        <v>9.9910992998619719E-4</v>
      </c>
      <c r="F129" s="19">
        <f t="shared" ref="F129:M129" si="27">(F128/E128)-1</f>
        <v>1.5326349922102356E-3</v>
      </c>
      <c r="G129" s="19">
        <f t="shared" si="27"/>
        <v>3.2123434931063954E-4</v>
      </c>
      <c r="H129" s="19">
        <f t="shared" si="27"/>
        <v>7.9903508927192668E-4</v>
      </c>
      <c r="I129" s="19">
        <f t="shared" si="27"/>
        <v>0</v>
      </c>
      <c r="J129" s="19">
        <f t="shared" si="27"/>
        <v>0</v>
      </c>
      <c r="K129" s="19">
        <f t="shared" si="27"/>
        <v>0</v>
      </c>
      <c r="L129" s="19">
        <f t="shared" si="27"/>
        <v>0</v>
      </c>
      <c r="M129" s="19">
        <f t="shared" si="27"/>
        <v>1.2632866170037005E-5</v>
      </c>
      <c r="N129" s="19">
        <f t="shared" ref="N129" si="28">(N128/M128)-1</f>
        <v>1.174841712186625E-3</v>
      </c>
      <c r="O129" s="19">
        <f t="shared" ref="O129" si="29">(O128/N128)-1</f>
        <v>4.5323434183863753E-3</v>
      </c>
      <c r="P129" s="19">
        <f t="shared" ref="P129" si="30">(P128/O128)-1</f>
        <v>8.6567569129199384E-2</v>
      </c>
      <c r="Q129" s="19">
        <f t="shared" ref="Q129" si="31">(Q128/P128)-1</f>
        <v>3.1143212536819398E-3</v>
      </c>
      <c r="R129" s="19">
        <f t="shared" ref="R129" si="32">(R128/Q128)-1</f>
        <v>-3.104652368824401E-3</v>
      </c>
      <c r="S129" s="19">
        <f t="shared" ref="S129" si="33">(S128/R128)-1</f>
        <v>1.1883898473590282E-3</v>
      </c>
      <c r="T129" s="19">
        <f t="shared" ref="T129" si="34">(T128/S128)-1</f>
        <v>6.3736629163657632E-4</v>
      </c>
      <c r="U129" s="19">
        <f t="shared" ref="U129" si="35">(U128/T128)-1</f>
        <v>1.2854597653402244E-3</v>
      </c>
    </row>
    <row r="130" spans="1:21" ht="16" x14ac:dyDescent="0.2">
      <c r="A130" s="3" t="s">
        <v>137</v>
      </c>
      <c r="B130" s="4" t="s">
        <v>26</v>
      </c>
      <c r="C130" s="4" t="s">
        <v>26</v>
      </c>
      <c r="D130" s="4">
        <v>159011000</v>
      </c>
      <c r="E130" s="4">
        <v>145834000</v>
      </c>
      <c r="F130" s="4">
        <v>131013000</v>
      </c>
      <c r="G130" s="4" t="s">
        <v>26</v>
      </c>
      <c r="H130" s="4" t="s">
        <v>26</v>
      </c>
      <c r="I130" s="4" t="s">
        <v>26</v>
      </c>
      <c r="J130" s="4" t="s">
        <v>26</v>
      </c>
      <c r="K130" s="4" t="s">
        <v>26</v>
      </c>
      <c r="L130" s="4" t="s">
        <v>26</v>
      </c>
      <c r="M130" s="4" t="s">
        <v>26</v>
      </c>
      <c r="N130" s="4" t="s">
        <v>26</v>
      </c>
      <c r="O130" s="4" t="s">
        <v>26</v>
      </c>
      <c r="P130" s="4" t="s">
        <v>26</v>
      </c>
      <c r="Q130" s="5" t="s">
        <v>26</v>
      </c>
      <c r="R130" s="4" t="s">
        <v>26</v>
      </c>
      <c r="S130" s="4" t="s">
        <v>26</v>
      </c>
      <c r="T130" s="4" t="s">
        <v>26</v>
      </c>
      <c r="U130" s="4" t="s">
        <v>26</v>
      </c>
    </row>
    <row r="131" spans="1:21" ht="16" x14ac:dyDescent="0.2">
      <c r="A131" s="3" t="s">
        <v>138</v>
      </c>
      <c r="B131" s="4">
        <v>1043797960</v>
      </c>
      <c r="C131" s="4">
        <v>-59985000</v>
      </c>
      <c r="D131" s="4">
        <v>649821000</v>
      </c>
      <c r="E131" s="4">
        <v>493695000</v>
      </c>
      <c r="F131" s="4">
        <v>649206000</v>
      </c>
      <c r="G131" s="4">
        <v>1155704000</v>
      </c>
      <c r="H131" s="4">
        <v>924615000</v>
      </c>
      <c r="I131" s="4">
        <v>1033633000</v>
      </c>
      <c r="J131" s="4">
        <v>1173049000</v>
      </c>
      <c r="K131" s="4">
        <v>902851000</v>
      </c>
      <c r="L131" s="4">
        <v>784143000</v>
      </c>
      <c r="M131" s="4">
        <v>130016000</v>
      </c>
      <c r="N131" s="4">
        <v>293418000</v>
      </c>
      <c r="O131" s="4">
        <v>-17940000</v>
      </c>
      <c r="P131" s="4">
        <v>92326000</v>
      </c>
      <c r="Q131" s="5">
        <v>997582000</v>
      </c>
      <c r="R131" s="4">
        <v>92326000</v>
      </c>
      <c r="S131" s="4">
        <v>-407771000</v>
      </c>
      <c r="T131" s="4">
        <v>-1211589000</v>
      </c>
      <c r="U131" s="4">
        <v>997582000</v>
      </c>
    </row>
    <row r="132" spans="1:21" ht="16" x14ac:dyDescent="0.2">
      <c r="A132" s="3" t="s">
        <v>139</v>
      </c>
      <c r="B132" s="6">
        <v>24.31</v>
      </c>
      <c r="C132" s="6">
        <v>-1.2</v>
      </c>
      <c r="D132" s="6">
        <v>12.05</v>
      </c>
      <c r="E132" s="6">
        <v>9.67</v>
      </c>
      <c r="F132" s="6">
        <v>13.13</v>
      </c>
      <c r="G132" s="6">
        <v>21.6</v>
      </c>
      <c r="H132" s="6">
        <v>16.98</v>
      </c>
      <c r="I132" s="6">
        <v>18.64</v>
      </c>
      <c r="J132" s="6">
        <v>22.31</v>
      </c>
      <c r="K132" s="6">
        <v>18.579999999999998</v>
      </c>
      <c r="L132" s="6">
        <v>15.7</v>
      </c>
      <c r="M132" s="6">
        <v>2.6</v>
      </c>
      <c r="N132" s="6">
        <v>5.92</v>
      </c>
      <c r="O132" s="6">
        <v>-0.37</v>
      </c>
      <c r="P132" s="6">
        <v>1.58</v>
      </c>
      <c r="Q132" s="7">
        <v>16.32</v>
      </c>
      <c r="R132" s="6">
        <v>1.58</v>
      </c>
      <c r="S132" s="6">
        <v>-6.85</v>
      </c>
      <c r="T132" s="6">
        <v>-20.28</v>
      </c>
      <c r="U132" s="6">
        <v>16.32</v>
      </c>
    </row>
    <row r="133" spans="1:21" ht="16" x14ac:dyDescent="0.2">
      <c r="A133" s="3" t="s">
        <v>140</v>
      </c>
      <c r="B133" s="6">
        <v>59.62</v>
      </c>
      <c r="C133" s="6">
        <v>67.78</v>
      </c>
      <c r="D133" s="6">
        <v>69.95</v>
      </c>
      <c r="E133" s="4">
        <v>65</v>
      </c>
      <c r="F133" s="6">
        <v>59.72</v>
      </c>
      <c r="G133" s="6">
        <v>65.709999999999994</v>
      </c>
      <c r="H133" s="6">
        <v>63.38</v>
      </c>
      <c r="I133" s="6">
        <v>62.12</v>
      </c>
      <c r="J133" s="6">
        <v>62.83</v>
      </c>
      <c r="K133" s="6">
        <v>62.13</v>
      </c>
      <c r="L133" s="6">
        <v>61.96</v>
      </c>
      <c r="M133" s="6">
        <v>66.98</v>
      </c>
      <c r="N133" s="6">
        <v>65.150000000000006</v>
      </c>
      <c r="O133" s="6">
        <v>64.22</v>
      </c>
      <c r="P133" s="6">
        <v>67.430000000000007</v>
      </c>
      <c r="Q133" s="7">
        <v>69.92</v>
      </c>
      <c r="R133" s="6">
        <v>67.430000000000007</v>
      </c>
      <c r="S133" s="6">
        <v>69.06</v>
      </c>
      <c r="T133" s="6">
        <v>68.8</v>
      </c>
      <c r="U133" s="6">
        <v>69.92</v>
      </c>
    </row>
    <row r="134" spans="1:21" ht="16" x14ac:dyDescent="0.2">
      <c r="A134" s="3" t="s">
        <v>141</v>
      </c>
      <c r="B134" s="6">
        <v>1.87</v>
      </c>
      <c r="C134" s="6">
        <v>3.31</v>
      </c>
      <c r="D134" s="6">
        <v>4.26</v>
      </c>
      <c r="E134" s="6">
        <v>3.65</v>
      </c>
      <c r="F134" s="6">
        <v>3.06</v>
      </c>
      <c r="G134" s="6">
        <v>2.4900000000000002</v>
      </c>
      <c r="H134" s="6">
        <v>4.01</v>
      </c>
      <c r="I134" s="6">
        <v>3.25</v>
      </c>
      <c r="J134" s="6">
        <v>4.3499999999999996</v>
      </c>
      <c r="K134" s="6">
        <v>5.2</v>
      </c>
      <c r="L134" s="6">
        <v>2.38</v>
      </c>
      <c r="M134" s="6">
        <v>6.51</v>
      </c>
      <c r="N134" s="6">
        <v>6.4</v>
      </c>
      <c r="O134" s="6">
        <v>5.18</v>
      </c>
      <c r="P134" s="6">
        <v>5.92</v>
      </c>
      <c r="Q134" s="7">
        <v>3.85</v>
      </c>
      <c r="R134" s="6">
        <v>5.92</v>
      </c>
      <c r="S134" s="6">
        <v>7.75</v>
      </c>
      <c r="T134" s="6">
        <v>3.64</v>
      </c>
      <c r="U134" s="6">
        <v>3.85</v>
      </c>
    </row>
    <row r="135" spans="1:21" ht="16" x14ac:dyDescent="0.2">
      <c r="A135" s="3" t="s">
        <v>142</v>
      </c>
      <c r="B135" s="6">
        <v>35.58</v>
      </c>
      <c r="C135" s="6">
        <v>52.1</v>
      </c>
      <c r="D135" s="6">
        <v>98.56</v>
      </c>
      <c r="E135" s="6">
        <v>111.8</v>
      </c>
      <c r="F135" s="6">
        <v>163.86</v>
      </c>
      <c r="G135" s="6">
        <v>194.32</v>
      </c>
      <c r="H135" s="6">
        <v>225.91</v>
      </c>
      <c r="I135" s="6">
        <v>237.73</v>
      </c>
      <c r="J135" s="6">
        <v>268.14</v>
      </c>
      <c r="K135" s="6">
        <v>272.13</v>
      </c>
      <c r="L135" s="4">
        <v>193</v>
      </c>
      <c r="M135" s="6">
        <v>150.53</v>
      </c>
      <c r="N135" s="6">
        <v>155.1</v>
      </c>
      <c r="O135" s="6">
        <v>159.04</v>
      </c>
      <c r="P135" s="6">
        <v>147.75</v>
      </c>
      <c r="Q135" s="7">
        <v>124.4</v>
      </c>
      <c r="R135" s="6">
        <v>147.75</v>
      </c>
      <c r="S135" s="6">
        <v>91.09</v>
      </c>
      <c r="T135" s="6">
        <v>137.18</v>
      </c>
      <c r="U135" s="6">
        <v>124.4</v>
      </c>
    </row>
    <row r="136" spans="1:21" ht="16" x14ac:dyDescent="0.2">
      <c r="A136" s="3" t="s">
        <v>143</v>
      </c>
      <c r="B136" s="4">
        <v>3077</v>
      </c>
      <c r="C136" s="4">
        <v>3000</v>
      </c>
      <c r="D136" s="4">
        <v>3300</v>
      </c>
      <c r="E136" s="4">
        <v>3470</v>
      </c>
      <c r="F136" s="4">
        <v>4171</v>
      </c>
      <c r="G136" s="4">
        <v>3873</v>
      </c>
      <c r="H136" s="4">
        <v>3963</v>
      </c>
      <c r="I136" s="4">
        <v>4005</v>
      </c>
      <c r="J136" s="4">
        <v>3580</v>
      </c>
      <c r="K136" s="4">
        <v>2620</v>
      </c>
      <c r="L136" s="4">
        <v>1897</v>
      </c>
      <c r="M136" s="4">
        <v>1824</v>
      </c>
      <c r="N136" s="4">
        <v>1931</v>
      </c>
      <c r="O136" s="4">
        <v>2095</v>
      </c>
      <c r="P136" s="4">
        <v>2424</v>
      </c>
      <c r="Q136" s="5">
        <v>2424</v>
      </c>
      <c r="R136" s="4">
        <v>2424</v>
      </c>
      <c r="S136" s="4">
        <v>2424</v>
      </c>
      <c r="T136" s="4">
        <v>2424</v>
      </c>
      <c r="U136" s="4">
        <v>2424</v>
      </c>
    </row>
    <row r="138" spans="1:21" ht="16" x14ac:dyDescent="0.2">
      <c r="A138" s="2" t="s">
        <v>26</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c r="T138" s="2" t="s">
        <v>18</v>
      </c>
      <c r="U138" s="2" t="s">
        <v>19</v>
      </c>
    </row>
    <row r="139" spans="1:21" ht="16" x14ac:dyDescent="0.2">
      <c r="A139" s="3" t="s">
        <v>144</v>
      </c>
      <c r="B139" s="4">
        <v>450116561</v>
      </c>
      <c r="C139" s="4">
        <v>1099422000</v>
      </c>
      <c r="D139" s="4">
        <v>514749000</v>
      </c>
      <c r="E139" s="4">
        <v>438635000</v>
      </c>
      <c r="F139" s="4">
        <v>264583000</v>
      </c>
      <c r="G139" s="4">
        <v>317687000</v>
      </c>
      <c r="H139" s="4">
        <v>183413000</v>
      </c>
      <c r="I139" s="4">
        <v>63362000</v>
      </c>
      <c r="J139" s="4">
        <v>-59879000</v>
      </c>
      <c r="K139" s="4">
        <v>-204718000</v>
      </c>
      <c r="L139" s="4">
        <v>166235000</v>
      </c>
      <c r="M139" s="4">
        <v>73941000</v>
      </c>
      <c r="N139" s="4">
        <v>-53197000</v>
      </c>
      <c r="O139" s="4">
        <v>-102654000</v>
      </c>
      <c r="P139" s="4">
        <v>89264000</v>
      </c>
      <c r="Q139" s="5">
        <v>265301000</v>
      </c>
      <c r="R139" s="4">
        <v>-15423000</v>
      </c>
      <c r="S139" s="4">
        <v>118964000</v>
      </c>
      <c r="T139" s="4">
        <v>13693000</v>
      </c>
      <c r="U139" s="4">
        <v>148067000</v>
      </c>
    </row>
    <row r="140" spans="1:21" ht="16" x14ac:dyDescent="0.2">
      <c r="A140" s="3" t="s">
        <v>145</v>
      </c>
      <c r="B140" s="4">
        <v>293314716</v>
      </c>
      <c r="C140" s="4">
        <v>240643000</v>
      </c>
      <c r="D140" s="4">
        <v>251547000</v>
      </c>
      <c r="E140" s="4">
        <v>274835000</v>
      </c>
      <c r="F140" s="4">
        <v>293429000</v>
      </c>
      <c r="G140" s="4">
        <v>282756000</v>
      </c>
      <c r="H140" s="4">
        <v>338983000</v>
      </c>
      <c r="I140" s="4">
        <v>312518000</v>
      </c>
      <c r="J140" s="4">
        <v>371689000</v>
      </c>
      <c r="K140" s="4">
        <v>330345000</v>
      </c>
      <c r="L140" s="4">
        <v>327973000</v>
      </c>
      <c r="M140" s="4">
        <v>275749000</v>
      </c>
      <c r="N140" s="4">
        <v>208662000</v>
      </c>
      <c r="O140" s="4">
        <v>190415000</v>
      </c>
      <c r="P140" s="4">
        <v>177376000</v>
      </c>
      <c r="Q140" s="5">
        <v>202216000</v>
      </c>
      <c r="R140" s="4">
        <v>28004000</v>
      </c>
      <c r="S140" s="4">
        <v>76373000</v>
      </c>
      <c r="T140" s="4">
        <v>41852000</v>
      </c>
      <c r="U140" s="4">
        <v>55987000</v>
      </c>
    </row>
    <row r="141" spans="1:21" ht="16" x14ac:dyDescent="0.2">
      <c r="A141" s="3" t="s">
        <v>146</v>
      </c>
      <c r="B141" s="4">
        <v>101515299</v>
      </c>
      <c r="C141" s="4">
        <v>-565619000</v>
      </c>
      <c r="D141" s="4">
        <v>-19756000</v>
      </c>
      <c r="E141" s="4">
        <v>136074000</v>
      </c>
      <c r="F141" s="4">
        <v>104220000</v>
      </c>
      <c r="G141" s="4">
        <v>86582000</v>
      </c>
      <c r="H141" s="4">
        <v>54542000</v>
      </c>
      <c r="I141" s="4">
        <v>155258000</v>
      </c>
      <c r="J141" s="4">
        <v>79996000</v>
      </c>
      <c r="K141" s="4">
        <v>394309000</v>
      </c>
      <c r="L141" s="4">
        <v>-36411000</v>
      </c>
      <c r="M141" s="4">
        <v>64096000</v>
      </c>
      <c r="N141" s="4">
        <v>102100000</v>
      </c>
      <c r="O141" s="4">
        <v>60049000</v>
      </c>
      <c r="P141" s="4">
        <v>148323000</v>
      </c>
      <c r="Q141" s="5">
        <v>225165000</v>
      </c>
      <c r="R141" s="4">
        <v>72285000</v>
      </c>
      <c r="S141" s="4">
        <v>-36953000</v>
      </c>
      <c r="T141" s="4">
        <v>232550000</v>
      </c>
      <c r="U141" s="4">
        <v>-42717000</v>
      </c>
    </row>
    <row r="142" spans="1:21" ht="16" x14ac:dyDescent="0.2">
      <c r="A142" s="27" t="s">
        <v>147</v>
      </c>
      <c r="B142" s="25">
        <v>14570000</v>
      </c>
      <c r="C142" s="25">
        <v>2772000</v>
      </c>
      <c r="D142" s="25">
        <v>16086000</v>
      </c>
      <c r="E142" s="25">
        <v>19492000</v>
      </c>
      <c r="F142" s="25">
        <v>17550000</v>
      </c>
      <c r="G142" s="25">
        <v>19008000</v>
      </c>
      <c r="H142" s="25">
        <v>15808000</v>
      </c>
      <c r="I142" s="25">
        <v>16853000</v>
      </c>
      <c r="J142" s="25">
        <v>14101000</v>
      </c>
      <c r="K142" s="25">
        <v>13960000</v>
      </c>
      <c r="L142" s="25">
        <v>14976000</v>
      </c>
      <c r="M142" s="25">
        <v>14342000</v>
      </c>
      <c r="N142" s="25">
        <v>6564000</v>
      </c>
      <c r="O142" s="25">
        <v>4536000</v>
      </c>
      <c r="P142" s="25">
        <v>3318000</v>
      </c>
      <c r="Q142" s="26">
        <v>3603000</v>
      </c>
      <c r="R142" s="25">
        <v>893000</v>
      </c>
      <c r="S142" s="25">
        <v>849000</v>
      </c>
      <c r="T142" s="25">
        <v>912000</v>
      </c>
      <c r="U142" s="25">
        <v>949000</v>
      </c>
    </row>
    <row r="143" spans="1:21" ht="16" x14ac:dyDescent="0.2">
      <c r="A143" s="12" t="s">
        <v>200</v>
      </c>
      <c r="B143" s="19">
        <f t="shared" ref="B143:U143" si="36">B142/B2</f>
        <v>5.0959048381175268E-3</v>
      </c>
      <c r="C143" s="19">
        <f t="shared" si="36"/>
        <v>1.1974159659781812E-3</v>
      </c>
      <c r="D143" s="19">
        <f t="shared" si="36"/>
        <v>7.5746766777089495E-3</v>
      </c>
      <c r="E143" s="19">
        <f t="shared" si="36"/>
        <v>8.1747891716336656E-3</v>
      </c>
      <c r="F143" s="19">
        <f t="shared" si="36"/>
        <v>7.5598618289868793E-3</v>
      </c>
      <c r="G143" s="19">
        <f t="shared" si="36"/>
        <v>7.7942431346241453E-3</v>
      </c>
      <c r="H143" s="19">
        <f t="shared" si="36"/>
        <v>6.5934469279242151E-3</v>
      </c>
      <c r="I143" s="19">
        <f t="shared" si="36"/>
        <v>6.1186227888837333E-3</v>
      </c>
      <c r="J143" s="19">
        <f t="shared" si="36"/>
        <v>5.7995298189852445E-3</v>
      </c>
      <c r="K143" s="19">
        <f t="shared" si="36"/>
        <v>6.4723958806631142E-3</v>
      </c>
      <c r="L143" s="19">
        <f t="shared" si="36"/>
        <v>7.1598600346805723E-3</v>
      </c>
      <c r="M143" s="19">
        <f t="shared" si="36"/>
        <v>7.6986459465625294E-3</v>
      </c>
      <c r="N143" s="19">
        <f t="shared" si="36"/>
        <v>3.646518780071697E-3</v>
      </c>
      <c r="O143" s="19">
        <f t="shared" si="36"/>
        <v>3.075287596340028E-3</v>
      </c>
      <c r="P143" s="19">
        <f t="shared" si="36"/>
        <v>1.776228410768077E-3</v>
      </c>
      <c r="Q143" s="19">
        <f t="shared" si="36"/>
        <v>1.588785458842828E-3</v>
      </c>
      <c r="R143" s="19">
        <f t="shared" si="36"/>
        <v>1.705080299162353E-3</v>
      </c>
      <c r="S143" s="19">
        <f t="shared" si="36"/>
        <v>1.235852833072528E-3</v>
      </c>
      <c r="T143" s="19">
        <f t="shared" si="36"/>
        <v>1.8921672161282359E-3</v>
      </c>
      <c r="U143" s="19">
        <f t="shared" si="36"/>
        <v>1.6502080583711107E-3</v>
      </c>
    </row>
    <row r="144" spans="1:21" ht="16" x14ac:dyDescent="0.2">
      <c r="A144" s="3" t="s">
        <v>148</v>
      </c>
      <c r="B144" s="4">
        <v>-142196455</v>
      </c>
      <c r="C144" s="4" t="s">
        <v>26</v>
      </c>
      <c r="D144" s="4" t="s">
        <v>26</v>
      </c>
      <c r="E144" s="4">
        <v>11755000</v>
      </c>
      <c r="F144" s="4">
        <v>-46376000</v>
      </c>
      <c r="G144" s="4">
        <v>-89758000</v>
      </c>
      <c r="H144" s="4">
        <v>-175268000</v>
      </c>
      <c r="I144" s="4">
        <v>-142630000</v>
      </c>
      <c r="J144" s="4">
        <v>-94355000</v>
      </c>
      <c r="K144" s="4">
        <v>-2519000</v>
      </c>
      <c r="L144" s="4">
        <v>-126306000</v>
      </c>
      <c r="M144" s="4">
        <v>61077000</v>
      </c>
      <c r="N144" s="4">
        <v>13666000</v>
      </c>
      <c r="O144" s="4">
        <v>-1201000</v>
      </c>
      <c r="P144" s="4">
        <v>-4469000</v>
      </c>
      <c r="Q144" s="5">
        <v>95315000</v>
      </c>
      <c r="R144" s="4">
        <v>-4510000</v>
      </c>
      <c r="S144" s="4">
        <v>35904000</v>
      </c>
      <c r="T144" s="4">
        <v>23358000</v>
      </c>
      <c r="U144" s="4">
        <v>40563000</v>
      </c>
    </row>
    <row r="145" spans="1:21" ht="16" x14ac:dyDescent="0.2">
      <c r="A145" s="3" t="s">
        <v>149</v>
      </c>
      <c r="B145" s="4" t="s">
        <v>26</v>
      </c>
      <c r="C145" s="4" t="s">
        <v>26</v>
      </c>
      <c r="D145" s="4" t="s">
        <v>26</v>
      </c>
      <c r="E145" s="4" t="s">
        <v>26</v>
      </c>
      <c r="F145" s="4">
        <v>168000000</v>
      </c>
      <c r="G145" s="4">
        <v>70159000</v>
      </c>
      <c r="H145" s="4">
        <v>326693000</v>
      </c>
      <c r="I145" s="4">
        <v>215488000</v>
      </c>
      <c r="J145" s="4">
        <v>361989000</v>
      </c>
      <c r="K145" s="4">
        <v>358330000</v>
      </c>
      <c r="L145" s="4" t="s">
        <v>26</v>
      </c>
      <c r="M145" s="4" t="s">
        <v>26</v>
      </c>
      <c r="N145" s="4" t="s">
        <v>26</v>
      </c>
      <c r="O145" s="4" t="s">
        <v>26</v>
      </c>
      <c r="P145" s="4" t="s">
        <v>26</v>
      </c>
      <c r="Q145" s="5" t="s">
        <v>26</v>
      </c>
      <c r="R145" s="4" t="s">
        <v>26</v>
      </c>
      <c r="S145" s="4" t="s">
        <v>26</v>
      </c>
      <c r="T145" s="4" t="s">
        <v>26</v>
      </c>
      <c r="U145" s="4" t="s">
        <v>26</v>
      </c>
    </row>
    <row r="146" spans="1:21" ht="16" x14ac:dyDescent="0.2">
      <c r="A146" s="3" t="s">
        <v>150</v>
      </c>
      <c r="B146" s="4">
        <v>229141754</v>
      </c>
      <c r="C146" s="4">
        <v>-568391000</v>
      </c>
      <c r="D146" s="4">
        <v>-35842000</v>
      </c>
      <c r="E146" s="4">
        <v>104827000</v>
      </c>
      <c r="F146" s="4">
        <v>-34954000</v>
      </c>
      <c r="G146" s="4">
        <v>87173000</v>
      </c>
      <c r="H146" s="4">
        <v>-112691000</v>
      </c>
      <c r="I146" s="4">
        <v>65547000</v>
      </c>
      <c r="J146" s="4">
        <v>-201739000</v>
      </c>
      <c r="K146" s="4">
        <v>24538000</v>
      </c>
      <c r="L146" s="4">
        <v>74919000</v>
      </c>
      <c r="M146" s="4">
        <v>-11323000</v>
      </c>
      <c r="N146" s="4">
        <v>81870000</v>
      </c>
      <c r="O146" s="4">
        <v>56714000</v>
      </c>
      <c r="P146" s="4">
        <v>149474000</v>
      </c>
      <c r="Q146" s="5">
        <v>126247000</v>
      </c>
      <c r="R146" s="4">
        <v>75902000</v>
      </c>
      <c r="S146" s="4">
        <v>-73706000</v>
      </c>
      <c r="T146" s="4">
        <v>208280000</v>
      </c>
      <c r="U146" s="4">
        <v>-84229000</v>
      </c>
    </row>
    <row r="147" spans="1:21" ht="16" x14ac:dyDescent="0.2">
      <c r="A147" s="3" t="s">
        <v>151</v>
      </c>
      <c r="B147" s="4">
        <v>-136679213</v>
      </c>
      <c r="C147" s="4">
        <v>-84333000</v>
      </c>
      <c r="D147" s="4">
        <v>-239442000</v>
      </c>
      <c r="E147" s="4">
        <v>-117867000</v>
      </c>
      <c r="F147" s="4">
        <v>-18320000</v>
      </c>
      <c r="G147" s="4">
        <v>-162986000</v>
      </c>
      <c r="H147" s="4">
        <v>-96756000</v>
      </c>
      <c r="I147" s="4">
        <v>-81128000</v>
      </c>
      <c r="J147" s="4">
        <v>-79426000</v>
      </c>
      <c r="K147" s="4">
        <v>76114000</v>
      </c>
      <c r="L147" s="4">
        <v>209719000</v>
      </c>
      <c r="M147" s="4">
        <v>113238000</v>
      </c>
      <c r="N147" s="4">
        <v>-200676000</v>
      </c>
      <c r="O147" s="4">
        <v>310478000</v>
      </c>
      <c r="P147" s="4">
        <v>-110356000</v>
      </c>
      <c r="Q147" s="5">
        <v>-128368000</v>
      </c>
      <c r="R147" s="4">
        <v>-7409000</v>
      </c>
      <c r="S147" s="4">
        <v>56772000</v>
      </c>
      <c r="T147" s="4">
        <v>-201181000</v>
      </c>
      <c r="U147" s="4">
        <v>23450000</v>
      </c>
    </row>
    <row r="148" spans="1:21" ht="16" x14ac:dyDescent="0.2">
      <c r="A148" s="3" t="s">
        <v>152</v>
      </c>
      <c r="B148" s="4">
        <v>-143266149</v>
      </c>
      <c r="C148" s="4">
        <v>34556000</v>
      </c>
      <c r="D148" s="4">
        <v>-1566000</v>
      </c>
      <c r="E148" s="4">
        <v>-158779000</v>
      </c>
      <c r="F148" s="4">
        <v>66252000</v>
      </c>
      <c r="G148" s="4">
        <v>26972000</v>
      </c>
      <c r="H148" s="4">
        <v>-18063000</v>
      </c>
      <c r="I148" s="4">
        <v>216266000</v>
      </c>
      <c r="J148" s="4">
        <v>1529000</v>
      </c>
      <c r="K148" s="4">
        <v>-174613000</v>
      </c>
      <c r="L148" s="4">
        <v>-44353000</v>
      </c>
      <c r="M148" s="4">
        <v>58488000</v>
      </c>
      <c r="N148" s="4">
        <v>143717000</v>
      </c>
      <c r="O148" s="4">
        <v>-75678000</v>
      </c>
      <c r="P148" s="4">
        <v>99601000</v>
      </c>
      <c r="Q148" s="5">
        <v>-92093000</v>
      </c>
      <c r="R148" s="4">
        <v>24701000</v>
      </c>
      <c r="S148" s="4">
        <v>35037000</v>
      </c>
      <c r="T148" s="4">
        <v>-106445000</v>
      </c>
      <c r="U148" s="4">
        <v>-45386000</v>
      </c>
    </row>
    <row r="149" spans="1:21" ht="16" x14ac:dyDescent="0.2">
      <c r="A149" s="3" t="s">
        <v>153</v>
      </c>
      <c r="B149" s="4">
        <v>10717581</v>
      </c>
      <c r="C149" s="4">
        <v>-74938000</v>
      </c>
      <c r="D149" s="4">
        <v>-74899000</v>
      </c>
      <c r="E149" s="4">
        <v>29105000</v>
      </c>
      <c r="F149" s="4">
        <v>-64403000</v>
      </c>
      <c r="G149" s="4">
        <v>-167959000</v>
      </c>
      <c r="H149" s="4">
        <v>63212000</v>
      </c>
      <c r="I149" s="4">
        <v>-285169000</v>
      </c>
      <c r="J149" s="4">
        <v>-62966000</v>
      </c>
      <c r="K149" s="4">
        <v>315416000</v>
      </c>
      <c r="L149" s="4">
        <v>293688000</v>
      </c>
      <c r="M149" s="4">
        <v>117000000</v>
      </c>
      <c r="N149" s="4">
        <v>-380907000</v>
      </c>
      <c r="O149" s="4">
        <v>294399000</v>
      </c>
      <c r="P149" s="4">
        <v>-226358000</v>
      </c>
      <c r="Q149" s="5">
        <v>-5768000</v>
      </c>
      <c r="R149" s="4">
        <v>-135037000</v>
      </c>
      <c r="S149" s="4">
        <v>189778000</v>
      </c>
      <c r="T149" s="4">
        <v>-145209000</v>
      </c>
      <c r="U149" s="4">
        <v>84700000</v>
      </c>
    </row>
    <row r="150" spans="1:21" ht="16" x14ac:dyDescent="0.2">
      <c r="A150" s="3" t="s">
        <v>154</v>
      </c>
      <c r="B150" s="4">
        <v>-62351870</v>
      </c>
      <c r="C150" s="4">
        <v>-27838000</v>
      </c>
      <c r="D150" s="4">
        <v>-21229000</v>
      </c>
      <c r="E150" s="4">
        <v>8094000</v>
      </c>
      <c r="F150" s="4">
        <v>-7696000</v>
      </c>
      <c r="G150" s="4">
        <v>-60738000</v>
      </c>
      <c r="H150" s="4">
        <v>50522000</v>
      </c>
      <c r="I150" s="4">
        <v>-46620000</v>
      </c>
      <c r="J150" s="4">
        <v>10867000</v>
      </c>
      <c r="K150" s="4">
        <v>15436000</v>
      </c>
      <c r="L150" s="4">
        <v>52192000</v>
      </c>
      <c r="M150" s="4">
        <v>3612000</v>
      </c>
      <c r="N150" s="4" t="s">
        <v>26</v>
      </c>
      <c r="O150" s="4" t="s">
        <v>26</v>
      </c>
      <c r="P150" s="4" t="s">
        <v>26</v>
      </c>
      <c r="Q150" s="5" t="s">
        <v>26</v>
      </c>
      <c r="R150" s="4" t="s">
        <v>26</v>
      </c>
      <c r="S150" s="4" t="s">
        <v>26</v>
      </c>
      <c r="T150" s="4" t="s">
        <v>26</v>
      </c>
      <c r="U150" s="4" t="s">
        <v>26</v>
      </c>
    </row>
    <row r="151" spans="1:21" ht="16" x14ac:dyDescent="0.2">
      <c r="A151" s="3" t="s">
        <v>155</v>
      </c>
      <c r="B151" s="4">
        <v>22940748</v>
      </c>
      <c r="C151" s="4">
        <v>30784000</v>
      </c>
      <c r="D151" s="4">
        <v>-141748000</v>
      </c>
      <c r="E151" s="4">
        <v>68369000</v>
      </c>
      <c r="F151" s="4">
        <v>-20169000</v>
      </c>
      <c r="G151" s="4">
        <v>-21999000</v>
      </c>
      <c r="H151" s="4">
        <v>-141905000</v>
      </c>
      <c r="I151" s="4">
        <v>-12225000</v>
      </c>
      <c r="J151" s="4">
        <v>-17989000</v>
      </c>
      <c r="K151" s="4">
        <v>-64689000</v>
      </c>
      <c r="L151" s="4">
        <v>-39616000</v>
      </c>
      <c r="M151" s="4">
        <v>-62250000</v>
      </c>
      <c r="N151" s="4">
        <v>36514000</v>
      </c>
      <c r="O151" s="4">
        <v>91757000</v>
      </c>
      <c r="P151" s="4">
        <v>16401000</v>
      </c>
      <c r="Q151" s="5">
        <v>-30507000</v>
      </c>
      <c r="R151" s="4">
        <v>102927000</v>
      </c>
      <c r="S151" s="4">
        <v>-168043000</v>
      </c>
      <c r="T151" s="4">
        <v>50473000</v>
      </c>
      <c r="U151" s="4">
        <v>-15864000</v>
      </c>
    </row>
    <row r="152" spans="1:21" ht="16" x14ac:dyDescent="0.2">
      <c r="A152" s="3" t="s">
        <v>156</v>
      </c>
      <c r="B152" s="4">
        <v>35280477</v>
      </c>
      <c r="C152" s="4">
        <v>-46897000</v>
      </c>
      <c r="D152" s="4" t="s">
        <v>26</v>
      </c>
      <c r="E152" s="4">
        <v>-64656000</v>
      </c>
      <c r="F152" s="4">
        <v>7696000</v>
      </c>
      <c r="G152" s="4">
        <v>60738000</v>
      </c>
      <c r="H152" s="4">
        <v>-50522000</v>
      </c>
      <c r="I152" s="4">
        <v>46620000</v>
      </c>
      <c r="J152" s="4">
        <v>-10867000</v>
      </c>
      <c r="K152" s="4">
        <v>-15436000</v>
      </c>
      <c r="L152" s="4">
        <v>-52192000</v>
      </c>
      <c r="M152" s="4">
        <v>-3612000</v>
      </c>
      <c r="N152" s="4" t="s">
        <v>26</v>
      </c>
      <c r="O152" s="4" t="s">
        <v>26</v>
      </c>
      <c r="P152" s="4" t="s">
        <v>26</v>
      </c>
      <c r="Q152" s="5" t="s">
        <v>26</v>
      </c>
      <c r="R152" s="4" t="s">
        <v>26</v>
      </c>
      <c r="S152" s="4" t="s">
        <v>26</v>
      </c>
      <c r="T152" s="4" t="s">
        <v>26</v>
      </c>
      <c r="U152" s="4" t="s">
        <v>26</v>
      </c>
    </row>
    <row r="153" spans="1:21" ht="16" x14ac:dyDescent="0.2">
      <c r="A153" s="3" t="s">
        <v>157</v>
      </c>
      <c r="B153" s="4" t="s">
        <v>26</v>
      </c>
      <c r="C153" s="4" t="s">
        <v>26</v>
      </c>
      <c r="D153" s="4" t="s">
        <v>26</v>
      </c>
      <c r="E153" s="4" t="s">
        <v>26</v>
      </c>
      <c r="F153" s="4" t="s">
        <v>26</v>
      </c>
      <c r="G153" s="4">
        <v>5845000</v>
      </c>
      <c r="H153" s="4" t="s">
        <v>26</v>
      </c>
      <c r="I153" s="4" t="s">
        <v>26</v>
      </c>
      <c r="J153" s="4" t="s">
        <v>26</v>
      </c>
      <c r="K153" s="4" t="s">
        <v>26</v>
      </c>
      <c r="L153" s="4" t="s">
        <v>26</v>
      </c>
      <c r="M153" s="4" t="s">
        <v>26</v>
      </c>
      <c r="N153" s="4" t="s">
        <v>26</v>
      </c>
      <c r="O153" s="4" t="s">
        <v>26</v>
      </c>
      <c r="P153" s="4" t="s">
        <v>26</v>
      </c>
      <c r="Q153" s="5" t="s">
        <v>26</v>
      </c>
      <c r="R153" s="4" t="s">
        <v>26</v>
      </c>
      <c r="S153" s="4" t="s">
        <v>26</v>
      </c>
      <c r="T153" s="4" t="s">
        <v>26</v>
      </c>
      <c r="U153" s="4" t="s">
        <v>26</v>
      </c>
    </row>
    <row r="154" spans="1:21" ht="16" x14ac:dyDescent="0.2">
      <c r="A154" s="3" t="s">
        <v>158</v>
      </c>
      <c r="B154" s="4">
        <v>708267363</v>
      </c>
      <c r="C154" s="4">
        <v>690113000</v>
      </c>
      <c r="D154" s="4">
        <v>507098000</v>
      </c>
      <c r="E154" s="4">
        <v>731677000</v>
      </c>
      <c r="F154" s="4">
        <v>643912000</v>
      </c>
      <c r="G154" s="4">
        <v>529884000</v>
      </c>
      <c r="H154" s="4">
        <v>480182000</v>
      </c>
      <c r="I154" s="4">
        <v>450010000</v>
      </c>
      <c r="J154" s="4">
        <v>312380000</v>
      </c>
      <c r="K154" s="4">
        <v>596050000</v>
      </c>
      <c r="L154" s="4">
        <v>667516000</v>
      </c>
      <c r="M154" s="4">
        <v>527024000</v>
      </c>
      <c r="N154" s="4">
        <v>56889000</v>
      </c>
      <c r="O154" s="4">
        <v>458288000</v>
      </c>
      <c r="P154" s="4">
        <v>304607000</v>
      </c>
      <c r="Q154" s="5">
        <v>564314000</v>
      </c>
      <c r="R154" s="4">
        <v>77457000</v>
      </c>
      <c r="S154" s="4">
        <v>215156000</v>
      </c>
      <c r="T154" s="4">
        <v>86914000</v>
      </c>
      <c r="U154" s="4">
        <v>184787000</v>
      </c>
    </row>
    <row r="155" spans="1:21" ht="16" x14ac:dyDescent="0.2">
      <c r="A155" s="3" t="s">
        <v>159</v>
      </c>
      <c r="B155" s="4" t="s">
        <v>26</v>
      </c>
      <c r="C155" s="4" t="s">
        <v>26</v>
      </c>
      <c r="D155" s="4" t="s">
        <v>26</v>
      </c>
      <c r="E155" s="4" t="s">
        <v>26</v>
      </c>
      <c r="F155" s="4" t="s">
        <v>26</v>
      </c>
      <c r="G155" s="4" t="s">
        <v>26</v>
      </c>
      <c r="H155" s="4" t="s">
        <v>26</v>
      </c>
      <c r="I155" s="4" t="s">
        <v>26</v>
      </c>
      <c r="J155" s="4" t="s">
        <v>26</v>
      </c>
      <c r="K155" s="4" t="s">
        <v>26</v>
      </c>
      <c r="L155" s="4" t="s">
        <v>26</v>
      </c>
      <c r="M155" s="4" t="s">
        <v>26</v>
      </c>
      <c r="N155" s="4" t="s">
        <v>26</v>
      </c>
      <c r="O155" s="4" t="s">
        <v>26</v>
      </c>
      <c r="P155" s="4" t="s">
        <v>26</v>
      </c>
      <c r="Q155" s="5" t="s">
        <v>26</v>
      </c>
      <c r="R155" s="4" t="s">
        <v>26</v>
      </c>
      <c r="S155" s="4" t="s">
        <v>26</v>
      </c>
      <c r="T155" s="4" t="s">
        <v>26</v>
      </c>
      <c r="U155" s="4" t="s">
        <v>26</v>
      </c>
    </row>
    <row r="156" spans="1:21" ht="16" x14ac:dyDescent="0.2">
      <c r="A156" s="3" t="s">
        <v>160</v>
      </c>
      <c r="B156" s="4">
        <v>37093249</v>
      </c>
      <c r="C156" s="4">
        <v>3647000</v>
      </c>
      <c r="D156" s="4">
        <v>1437000</v>
      </c>
      <c r="E156" s="4">
        <v>62000</v>
      </c>
      <c r="F156" s="4">
        <v>3315000</v>
      </c>
      <c r="G156" s="4">
        <v>67000</v>
      </c>
      <c r="H156" s="4">
        <v>701000</v>
      </c>
      <c r="I156" s="4">
        <v>198000</v>
      </c>
      <c r="J156" s="4">
        <v>2168000</v>
      </c>
      <c r="K156" s="4">
        <v>1951000</v>
      </c>
      <c r="L156" s="4">
        <v>1249000</v>
      </c>
      <c r="M156" s="4">
        <v>679000</v>
      </c>
      <c r="N156" s="4">
        <v>511000</v>
      </c>
      <c r="O156" s="4">
        <v>5357000</v>
      </c>
      <c r="P156" s="4">
        <v>780000</v>
      </c>
      <c r="Q156" s="5">
        <v>90000</v>
      </c>
      <c r="R156" s="4">
        <v>54000</v>
      </c>
      <c r="S156" s="4" t="s">
        <v>26</v>
      </c>
      <c r="T156" s="4">
        <v>36000</v>
      </c>
      <c r="U156" s="4" t="s">
        <v>26</v>
      </c>
    </row>
    <row r="157" spans="1:21" ht="16" x14ac:dyDescent="0.2">
      <c r="A157" s="3" t="s">
        <v>161</v>
      </c>
      <c r="B157" s="4">
        <v>37093249</v>
      </c>
      <c r="C157" s="4">
        <v>3647000</v>
      </c>
      <c r="D157" s="4">
        <v>1437000</v>
      </c>
      <c r="E157" s="4">
        <v>62000</v>
      </c>
      <c r="F157" s="4">
        <v>3315000</v>
      </c>
      <c r="G157" s="4">
        <v>67000</v>
      </c>
      <c r="H157" s="4">
        <v>701000</v>
      </c>
      <c r="I157" s="4">
        <v>198000</v>
      </c>
      <c r="J157" s="4">
        <v>2168000</v>
      </c>
      <c r="K157" s="4">
        <v>1951000</v>
      </c>
      <c r="L157" s="4">
        <v>1249000</v>
      </c>
      <c r="M157" s="4">
        <v>679000</v>
      </c>
      <c r="N157" s="4">
        <v>511000</v>
      </c>
      <c r="O157" s="4">
        <v>5357000</v>
      </c>
      <c r="P157" s="4">
        <v>780000</v>
      </c>
      <c r="Q157" s="5">
        <v>90000</v>
      </c>
      <c r="R157" s="4">
        <v>54000</v>
      </c>
      <c r="S157" s="4" t="s">
        <v>26</v>
      </c>
      <c r="T157" s="4">
        <v>36000</v>
      </c>
      <c r="U157" s="4" t="s">
        <v>26</v>
      </c>
    </row>
    <row r="158" spans="1:21" ht="16" x14ac:dyDescent="0.2">
      <c r="A158" s="3" t="s">
        <v>162</v>
      </c>
      <c r="B158" s="4" t="s">
        <v>26</v>
      </c>
      <c r="C158" s="4" t="s">
        <v>26</v>
      </c>
      <c r="D158" s="4" t="s">
        <v>26</v>
      </c>
      <c r="E158" s="4" t="s">
        <v>26</v>
      </c>
      <c r="F158" s="4" t="s">
        <v>26</v>
      </c>
      <c r="G158" s="4" t="s">
        <v>26</v>
      </c>
      <c r="H158" s="4" t="s">
        <v>26</v>
      </c>
      <c r="I158" s="4" t="s">
        <v>26</v>
      </c>
      <c r="J158" s="4" t="s">
        <v>26</v>
      </c>
      <c r="K158" s="4" t="s">
        <v>26</v>
      </c>
      <c r="L158" s="4" t="s">
        <v>26</v>
      </c>
      <c r="M158" s="4" t="s">
        <v>26</v>
      </c>
      <c r="N158" s="4" t="s">
        <v>26</v>
      </c>
      <c r="O158" s="4" t="s">
        <v>26</v>
      </c>
      <c r="P158" s="4" t="s">
        <v>26</v>
      </c>
      <c r="Q158" s="5" t="s">
        <v>26</v>
      </c>
      <c r="R158" s="4" t="s">
        <v>26</v>
      </c>
      <c r="S158" s="4" t="s">
        <v>26</v>
      </c>
      <c r="T158" s="4" t="s">
        <v>26</v>
      </c>
      <c r="U158" s="4" t="s">
        <v>26</v>
      </c>
    </row>
    <row r="159" spans="1:21" ht="16" x14ac:dyDescent="0.2">
      <c r="A159" s="3" t="s">
        <v>163</v>
      </c>
      <c r="B159" s="4">
        <v>-629151287</v>
      </c>
      <c r="C159" s="4">
        <v>-392719000</v>
      </c>
      <c r="D159" s="4">
        <v>-470277000</v>
      </c>
      <c r="E159" s="4">
        <v>-647210000</v>
      </c>
      <c r="F159" s="4">
        <v>-733648000</v>
      </c>
      <c r="G159" s="4">
        <v>-645651000</v>
      </c>
      <c r="H159" s="4">
        <v>-480108000</v>
      </c>
      <c r="I159" s="4">
        <v>-358562000</v>
      </c>
      <c r="J159" s="4">
        <v>-216908000</v>
      </c>
      <c r="K159" s="4">
        <v>-114028000</v>
      </c>
      <c r="L159" s="4">
        <v>-55362000</v>
      </c>
      <c r="M159" s="4">
        <v>-75211000</v>
      </c>
      <c r="N159" s="4">
        <v>-77462000</v>
      </c>
      <c r="O159" s="4">
        <v>-98784000</v>
      </c>
      <c r="P159" s="4">
        <v>-143448000</v>
      </c>
      <c r="Q159" s="5">
        <v>-144181000</v>
      </c>
      <c r="R159" s="4">
        <v>-34144000</v>
      </c>
      <c r="S159" s="4">
        <v>-26909000</v>
      </c>
      <c r="T159" s="4">
        <v>-39986000</v>
      </c>
      <c r="U159" s="4">
        <v>-43142000</v>
      </c>
    </row>
    <row r="160" spans="1:21" ht="16" x14ac:dyDescent="0.2">
      <c r="A160" s="3" t="s">
        <v>164</v>
      </c>
      <c r="B160" s="4">
        <v>-629151287</v>
      </c>
      <c r="C160" s="4">
        <v>-392719000</v>
      </c>
      <c r="D160" s="4">
        <v>-470277000</v>
      </c>
      <c r="E160" s="4">
        <v>-647210000</v>
      </c>
      <c r="F160" s="4">
        <v>-733648000</v>
      </c>
      <c r="G160" s="4">
        <v>-645651000</v>
      </c>
      <c r="H160" s="4">
        <v>-480108000</v>
      </c>
      <c r="I160" s="4">
        <v>-358562000</v>
      </c>
      <c r="J160" s="4">
        <v>-216908000</v>
      </c>
      <c r="K160" s="4">
        <v>-114028000</v>
      </c>
      <c r="L160" s="4">
        <v>-55362000</v>
      </c>
      <c r="M160" s="4">
        <v>-75211000</v>
      </c>
      <c r="N160" s="4">
        <v>-77462000</v>
      </c>
      <c r="O160" s="4">
        <v>-98784000</v>
      </c>
      <c r="P160" s="4">
        <v>-143448000</v>
      </c>
      <c r="Q160" s="5">
        <v>-144181000</v>
      </c>
      <c r="R160" s="4">
        <v>-34144000</v>
      </c>
      <c r="S160" s="4">
        <v>-26909000</v>
      </c>
      <c r="T160" s="4">
        <v>-39986000</v>
      </c>
      <c r="U160" s="4">
        <v>-43142000</v>
      </c>
    </row>
    <row r="161" spans="1:21" ht="16" x14ac:dyDescent="0.2">
      <c r="A161" s="3" t="s">
        <v>165</v>
      </c>
      <c r="B161" s="4" t="s">
        <v>26</v>
      </c>
      <c r="C161" s="4" t="s">
        <v>26</v>
      </c>
      <c r="D161" s="4" t="s">
        <v>26</v>
      </c>
      <c r="E161" s="4" t="s">
        <v>26</v>
      </c>
      <c r="F161" s="4" t="s">
        <v>26</v>
      </c>
      <c r="G161" s="4" t="s">
        <v>26</v>
      </c>
      <c r="H161" s="4" t="s">
        <v>26</v>
      </c>
      <c r="I161" s="4" t="s">
        <v>26</v>
      </c>
      <c r="J161" s="4" t="s">
        <v>26</v>
      </c>
      <c r="K161" s="4" t="s">
        <v>26</v>
      </c>
      <c r="L161" s="4" t="s">
        <v>26</v>
      </c>
      <c r="M161" s="4" t="s">
        <v>26</v>
      </c>
      <c r="N161" s="4" t="s">
        <v>26</v>
      </c>
      <c r="O161" s="4" t="s">
        <v>26</v>
      </c>
      <c r="P161" s="4" t="s">
        <v>26</v>
      </c>
      <c r="Q161" s="5" t="s">
        <v>26</v>
      </c>
      <c r="R161" s="4" t="s">
        <v>26</v>
      </c>
      <c r="S161" s="4" t="s">
        <v>26</v>
      </c>
      <c r="T161" s="4" t="s">
        <v>26</v>
      </c>
      <c r="U161" s="4" t="s">
        <v>26</v>
      </c>
    </row>
    <row r="162" spans="1:21" ht="16" x14ac:dyDescent="0.2">
      <c r="A162" s="3" t="s">
        <v>166</v>
      </c>
      <c r="B162" s="4">
        <v>-49518000</v>
      </c>
      <c r="C162" s="4">
        <v>-243108000</v>
      </c>
      <c r="D162" s="4">
        <v>-680346000</v>
      </c>
      <c r="E162" s="4">
        <v>119118000</v>
      </c>
      <c r="F162" s="4">
        <v>728140000</v>
      </c>
      <c r="G162" s="4">
        <v>43162000</v>
      </c>
      <c r="H162" s="4">
        <v>11569000</v>
      </c>
      <c r="I162" s="4" t="s">
        <v>26</v>
      </c>
      <c r="J162" s="4" t="s">
        <v>26</v>
      </c>
      <c r="K162" s="4" t="s">
        <v>26</v>
      </c>
      <c r="L162" s="4">
        <v>-391025000</v>
      </c>
      <c r="M162" s="4">
        <v>391025000</v>
      </c>
      <c r="N162" s="4" t="s">
        <v>26</v>
      </c>
      <c r="O162" s="4">
        <v>-59921000</v>
      </c>
      <c r="P162" s="4">
        <v>-1044473000</v>
      </c>
      <c r="Q162" s="5">
        <v>-727377000</v>
      </c>
      <c r="R162" s="4">
        <v>-727377000</v>
      </c>
      <c r="S162" s="4" t="s">
        <v>26</v>
      </c>
      <c r="T162" s="4" t="s">
        <v>26</v>
      </c>
      <c r="U162" s="4" t="s">
        <v>26</v>
      </c>
    </row>
    <row r="163" spans="1:21" ht="16" x14ac:dyDescent="0.2">
      <c r="A163" s="3" t="s">
        <v>167</v>
      </c>
      <c r="B163" s="4" t="s">
        <v>26</v>
      </c>
      <c r="C163" s="4" t="s">
        <v>26</v>
      </c>
      <c r="D163" s="4" t="s">
        <v>26</v>
      </c>
      <c r="E163" s="4">
        <v>119118000</v>
      </c>
      <c r="F163" s="4">
        <v>754434000</v>
      </c>
      <c r="G163" s="4">
        <v>49535000</v>
      </c>
      <c r="H163" s="4">
        <v>11569000</v>
      </c>
      <c r="I163" s="4" t="s">
        <v>26</v>
      </c>
      <c r="J163" s="4" t="s">
        <v>26</v>
      </c>
      <c r="K163" s="4" t="s">
        <v>26</v>
      </c>
      <c r="L163" s="4" t="s">
        <v>26</v>
      </c>
      <c r="M163" s="4">
        <v>391025000</v>
      </c>
      <c r="N163" s="4" t="s">
        <v>26</v>
      </c>
      <c r="O163" s="4" t="s">
        <v>26</v>
      </c>
      <c r="P163" s="4" t="s">
        <v>26</v>
      </c>
      <c r="Q163" s="5" t="s">
        <v>26</v>
      </c>
      <c r="R163" s="4" t="s">
        <v>26</v>
      </c>
      <c r="S163" s="4" t="s">
        <v>26</v>
      </c>
      <c r="T163" s="4" t="s">
        <v>26</v>
      </c>
      <c r="U163" s="4" t="s">
        <v>26</v>
      </c>
    </row>
    <row r="164" spans="1:21" ht="16" x14ac:dyDescent="0.2">
      <c r="A164" s="3" t="s">
        <v>168</v>
      </c>
      <c r="B164" s="4">
        <v>-49518000</v>
      </c>
      <c r="C164" s="4">
        <v>-243108000</v>
      </c>
      <c r="D164" s="4">
        <v>-680346000</v>
      </c>
      <c r="E164" s="4" t="s">
        <v>26</v>
      </c>
      <c r="F164" s="4">
        <v>-26294000</v>
      </c>
      <c r="G164" s="4">
        <v>-6373000</v>
      </c>
      <c r="H164" s="4" t="s">
        <v>26</v>
      </c>
      <c r="I164" s="4" t="s">
        <v>26</v>
      </c>
      <c r="J164" s="4" t="s">
        <v>26</v>
      </c>
      <c r="K164" s="4" t="s">
        <v>26</v>
      </c>
      <c r="L164" s="4">
        <v>-391025000</v>
      </c>
      <c r="M164" s="4" t="s">
        <v>26</v>
      </c>
      <c r="N164" s="4" t="s">
        <v>26</v>
      </c>
      <c r="O164" s="4">
        <v>-59921000</v>
      </c>
      <c r="P164" s="4">
        <v>-1044473000</v>
      </c>
      <c r="Q164" s="5">
        <v>-727377000</v>
      </c>
      <c r="R164" s="4">
        <v>-727377000</v>
      </c>
      <c r="S164" s="4" t="s">
        <v>26</v>
      </c>
      <c r="T164" s="4" t="s">
        <v>26</v>
      </c>
      <c r="U164" s="4" t="s">
        <v>26</v>
      </c>
    </row>
    <row r="165" spans="1:21" ht="16" x14ac:dyDescent="0.2">
      <c r="A165" s="3" t="s">
        <v>169</v>
      </c>
      <c r="B165" s="4">
        <v>-503157000</v>
      </c>
      <c r="C165" s="4" t="s">
        <v>26</v>
      </c>
      <c r="D165" s="4" t="s">
        <v>26</v>
      </c>
      <c r="E165" s="4" t="s">
        <v>26</v>
      </c>
      <c r="F165" s="4">
        <v>-576408000</v>
      </c>
      <c r="G165" s="4">
        <v>-251992000</v>
      </c>
      <c r="H165" s="4" t="s">
        <v>26</v>
      </c>
      <c r="I165" s="4" t="s">
        <v>26</v>
      </c>
      <c r="J165" s="4" t="s">
        <v>26</v>
      </c>
      <c r="K165" s="4" t="s">
        <v>26</v>
      </c>
      <c r="L165" s="4" t="s">
        <v>26</v>
      </c>
      <c r="M165" s="4" t="s">
        <v>26</v>
      </c>
      <c r="N165" s="4" t="s">
        <v>26</v>
      </c>
      <c r="O165" s="4" t="s">
        <v>26</v>
      </c>
      <c r="P165" s="4">
        <v>-101681000</v>
      </c>
      <c r="Q165" s="5">
        <v>-12000</v>
      </c>
      <c r="R165" s="4">
        <v>-12000</v>
      </c>
      <c r="S165" s="4" t="s">
        <v>26</v>
      </c>
      <c r="T165" s="4" t="s">
        <v>26</v>
      </c>
      <c r="U165" s="4" t="s">
        <v>26</v>
      </c>
    </row>
    <row r="166" spans="1:21" ht="16" x14ac:dyDescent="0.2">
      <c r="A166" s="3" t="s">
        <v>170</v>
      </c>
      <c r="B166" s="4" t="s">
        <v>26</v>
      </c>
      <c r="C166" s="4" t="s">
        <v>26</v>
      </c>
      <c r="D166" s="4" t="s">
        <v>26</v>
      </c>
      <c r="E166" s="4" t="s">
        <v>26</v>
      </c>
      <c r="F166" s="4" t="s">
        <v>26</v>
      </c>
      <c r="G166" s="4" t="s">
        <v>26</v>
      </c>
      <c r="H166" s="4" t="s">
        <v>26</v>
      </c>
      <c r="I166" s="4" t="s">
        <v>26</v>
      </c>
      <c r="J166" s="4" t="s">
        <v>26</v>
      </c>
      <c r="K166" s="4" t="s">
        <v>26</v>
      </c>
      <c r="L166" s="4" t="s">
        <v>26</v>
      </c>
      <c r="M166" s="4" t="s">
        <v>26</v>
      </c>
      <c r="N166" s="4" t="s">
        <v>26</v>
      </c>
      <c r="O166" s="4" t="s">
        <v>26</v>
      </c>
      <c r="P166" s="4" t="s">
        <v>26</v>
      </c>
      <c r="Q166" s="5" t="s">
        <v>26</v>
      </c>
      <c r="R166" s="4" t="s">
        <v>26</v>
      </c>
      <c r="S166" s="4" t="s">
        <v>26</v>
      </c>
      <c r="T166" s="4" t="s">
        <v>26</v>
      </c>
      <c r="U166" s="4" t="s">
        <v>26</v>
      </c>
    </row>
    <row r="167" spans="1:21" ht="16" x14ac:dyDescent="0.2">
      <c r="A167" s="3" t="s">
        <v>171</v>
      </c>
      <c r="B167" s="4">
        <v>-503157000</v>
      </c>
      <c r="C167" s="4" t="s">
        <v>26</v>
      </c>
      <c r="D167" s="4" t="s">
        <v>26</v>
      </c>
      <c r="E167" s="4" t="s">
        <v>26</v>
      </c>
      <c r="F167" s="4">
        <v>-576408000</v>
      </c>
      <c r="G167" s="4">
        <v>-251992000</v>
      </c>
      <c r="H167" s="4" t="s">
        <v>26</v>
      </c>
      <c r="I167" s="4" t="s">
        <v>26</v>
      </c>
      <c r="J167" s="4" t="s">
        <v>26</v>
      </c>
      <c r="K167" s="4" t="s">
        <v>26</v>
      </c>
      <c r="L167" s="4" t="s">
        <v>26</v>
      </c>
      <c r="M167" s="4" t="s">
        <v>26</v>
      </c>
      <c r="N167" s="4" t="s">
        <v>26</v>
      </c>
      <c r="O167" s="4" t="s">
        <v>26</v>
      </c>
      <c r="P167" s="4">
        <v>-101681000</v>
      </c>
      <c r="Q167" s="5">
        <v>-12000</v>
      </c>
      <c r="R167" s="4">
        <v>-12000</v>
      </c>
      <c r="S167" s="4" t="s">
        <v>26</v>
      </c>
      <c r="T167" s="4" t="s">
        <v>26</v>
      </c>
      <c r="U167" s="4" t="s">
        <v>26</v>
      </c>
    </row>
    <row r="168" spans="1:21" ht="16" x14ac:dyDescent="0.2">
      <c r="A168" s="3" t="s">
        <v>172</v>
      </c>
      <c r="B168" s="4" t="s">
        <v>26</v>
      </c>
      <c r="C168" s="4" t="s">
        <v>26</v>
      </c>
      <c r="D168" s="4" t="s">
        <v>26</v>
      </c>
      <c r="E168" s="4" t="s">
        <v>26</v>
      </c>
      <c r="F168" s="4" t="s">
        <v>26</v>
      </c>
      <c r="G168" s="4" t="s">
        <v>26</v>
      </c>
      <c r="H168" s="4" t="s">
        <v>26</v>
      </c>
      <c r="I168" s="4" t="s">
        <v>26</v>
      </c>
      <c r="J168" s="4" t="s">
        <v>26</v>
      </c>
      <c r="K168" s="4" t="s">
        <v>26</v>
      </c>
      <c r="L168" s="4" t="s">
        <v>26</v>
      </c>
      <c r="M168" s="4" t="s">
        <v>26</v>
      </c>
      <c r="N168" s="4" t="s">
        <v>26</v>
      </c>
      <c r="O168" s="4" t="s">
        <v>26</v>
      </c>
      <c r="P168" s="4" t="s">
        <v>26</v>
      </c>
      <c r="Q168" s="5" t="s">
        <v>26</v>
      </c>
      <c r="R168" s="4" t="s">
        <v>26</v>
      </c>
      <c r="S168" s="4" t="s">
        <v>26</v>
      </c>
      <c r="T168" s="4" t="s">
        <v>26</v>
      </c>
      <c r="U168" s="4" t="s">
        <v>26</v>
      </c>
    </row>
    <row r="169" spans="1:21" ht="16" x14ac:dyDescent="0.2">
      <c r="A169" s="3" t="s">
        <v>173</v>
      </c>
      <c r="B169" s="4">
        <v>158</v>
      </c>
      <c r="C169" s="4">
        <v>871300000</v>
      </c>
      <c r="D169" s="4">
        <v>9453000</v>
      </c>
      <c r="E169" s="4" t="s">
        <v>26</v>
      </c>
      <c r="F169" s="4" t="s">
        <v>26</v>
      </c>
      <c r="G169" s="4" t="s">
        <v>26</v>
      </c>
      <c r="H169" s="4">
        <v>447096000</v>
      </c>
      <c r="I169" s="4">
        <v>17557000</v>
      </c>
      <c r="J169" s="4">
        <v>-3080000</v>
      </c>
      <c r="K169" s="4">
        <v>19023000</v>
      </c>
      <c r="L169" s="4">
        <v>33508000</v>
      </c>
      <c r="M169" s="4">
        <v>120913000</v>
      </c>
      <c r="N169" s="4">
        <v>-24078000</v>
      </c>
      <c r="O169" s="4">
        <v>73050000</v>
      </c>
      <c r="P169" s="4">
        <v>-2000000</v>
      </c>
      <c r="Q169" s="5">
        <v>1137687000</v>
      </c>
      <c r="R169" s="4" t="s">
        <v>26</v>
      </c>
      <c r="S169" s="4">
        <v>307952000</v>
      </c>
      <c r="T169" s="4">
        <v>810228000</v>
      </c>
      <c r="U169" s="4">
        <v>19507000</v>
      </c>
    </row>
    <row r="170" spans="1:21" ht="16" x14ac:dyDescent="0.2">
      <c r="A170" s="3" t="s">
        <v>157</v>
      </c>
      <c r="B170" s="4" t="s">
        <v>26</v>
      </c>
      <c r="C170" s="4">
        <v>871300000</v>
      </c>
      <c r="D170" s="4" t="s">
        <v>26</v>
      </c>
      <c r="E170" s="4" t="s">
        <v>26</v>
      </c>
      <c r="F170" s="4" t="s">
        <v>26</v>
      </c>
      <c r="G170" s="4" t="s">
        <v>26</v>
      </c>
      <c r="H170" s="4">
        <v>447096000</v>
      </c>
      <c r="I170" s="4" t="s">
        <v>26</v>
      </c>
      <c r="J170" s="4" t="s">
        <v>26</v>
      </c>
      <c r="K170" s="4" t="s">
        <v>26</v>
      </c>
      <c r="L170" s="4" t="s">
        <v>26</v>
      </c>
      <c r="M170" s="4" t="s">
        <v>26</v>
      </c>
      <c r="N170" s="4" t="s">
        <v>26</v>
      </c>
      <c r="O170" s="4" t="s">
        <v>26</v>
      </c>
      <c r="P170" s="4" t="s">
        <v>26</v>
      </c>
      <c r="Q170" s="5" t="s">
        <v>26</v>
      </c>
      <c r="R170" s="4" t="s">
        <v>26</v>
      </c>
      <c r="S170" s="4" t="s">
        <v>26</v>
      </c>
      <c r="T170" s="4" t="s">
        <v>26</v>
      </c>
      <c r="U170" s="4" t="s">
        <v>26</v>
      </c>
    </row>
    <row r="171" spans="1:21" ht="16" x14ac:dyDescent="0.2">
      <c r="A171" s="3" t="s">
        <v>174</v>
      </c>
      <c r="B171" s="4">
        <v>-1144732880</v>
      </c>
      <c r="C171" s="4">
        <v>239120000</v>
      </c>
      <c r="D171" s="4">
        <v>-1139733000</v>
      </c>
      <c r="E171" s="4">
        <v>-528030000</v>
      </c>
      <c r="F171" s="4">
        <v>-578601000</v>
      </c>
      <c r="G171" s="4">
        <v>-854414000</v>
      </c>
      <c r="H171" s="4">
        <v>-20742000</v>
      </c>
      <c r="I171" s="4">
        <v>-340807000</v>
      </c>
      <c r="J171" s="4">
        <v>-217820000</v>
      </c>
      <c r="K171" s="4">
        <v>-93054000</v>
      </c>
      <c r="L171" s="4">
        <v>-411630000</v>
      </c>
      <c r="M171" s="4">
        <v>437406000</v>
      </c>
      <c r="N171" s="4">
        <v>-101029000</v>
      </c>
      <c r="O171" s="4">
        <v>-80298000</v>
      </c>
      <c r="P171" s="4">
        <v>-1290822000</v>
      </c>
      <c r="Q171" s="5">
        <v>266207000</v>
      </c>
      <c r="R171" s="4">
        <v>-761479000</v>
      </c>
      <c r="S171" s="4">
        <v>281043000</v>
      </c>
      <c r="T171" s="4">
        <v>770278000</v>
      </c>
      <c r="U171" s="4">
        <v>-23635000</v>
      </c>
    </row>
    <row r="172" spans="1:21" ht="16" x14ac:dyDescent="0.2">
      <c r="A172" s="3" t="s">
        <v>175</v>
      </c>
      <c r="B172" s="4">
        <v>-80495386</v>
      </c>
      <c r="C172" s="4">
        <v>-92603000</v>
      </c>
      <c r="D172" s="4">
        <v>-106132000</v>
      </c>
      <c r="E172" s="4">
        <v>-146017000</v>
      </c>
      <c r="F172" s="4">
        <v>-158066000</v>
      </c>
      <c r="G172" s="4">
        <v>-158165000</v>
      </c>
      <c r="H172" s="4">
        <v>-158200000</v>
      </c>
      <c r="I172" s="4">
        <v>-158313000</v>
      </c>
      <c r="J172" s="4">
        <v>-158310000</v>
      </c>
      <c r="K172" s="4">
        <v>-158297000</v>
      </c>
      <c r="L172" s="4">
        <v>-71224000</v>
      </c>
      <c r="M172" s="4">
        <v>-31613000</v>
      </c>
      <c r="N172" s="4">
        <v>-31638000</v>
      </c>
      <c r="O172" s="4">
        <v>-31839000</v>
      </c>
      <c r="P172" s="4">
        <v>-51895000</v>
      </c>
      <c r="Q172" s="5">
        <v>-51895000</v>
      </c>
      <c r="R172" s="4">
        <v>-51895000</v>
      </c>
      <c r="S172" s="4" t="s">
        <v>26</v>
      </c>
      <c r="T172" s="4" t="s">
        <v>26</v>
      </c>
      <c r="U172" s="4" t="s">
        <v>26</v>
      </c>
    </row>
    <row r="173" spans="1:21" ht="16" x14ac:dyDescent="0.2">
      <c r="A173" s="3" t="s">
        <v>176</v>
      </c>
      <c r="B173" s="4" t="s">
        <v>26</v>
      </c>
      <c r="C173" s="4">
        <v>-231188000</v>
      </c>
      <c r="D173" s="4">
        <v>-9733000</v>
      </c>
      <c r="E173" s="4">
        <v>-2608000</v>
      </c>
      <c r="F173" s="4">
        <v>491977000</v>
      </c>
      <c r="G173" s="4">
        <v>-18459000</v>
      </c>
      <c r="H173" s="4">
        <v>145430000</v>
      </c>
      <c r="I173" s="4">
        <v>-10000</v>
      </c>
      <c r="J173" s="4" t="s">
        <v>26</v>
      </c>
      <c r="K173" s="4" t="s">
        <v>26</v>
      </c>
      <c r="L173" s="4" t="s">
        <v>26</v>
      </c>
      <c r="M173" s="4">
        <v>-502904000</v>
      </c>
      <c r="N173" s="4">
        <v>-6177000</v>
      </c>
      <c r="O173" s="4">
        <v>-2727000</v>
      </c>
      <c r="P173" s="4">
        <v>-2908000</v>
      </c>
      <c r="Q173" s="5">
        <v>-2437000</v>
      </c>
      <c r="R173" s="4">
        <v>-812000</v>
      </c>
      <c r="S173" s="4">
        <v>-585000</v>
      </c>
      <c r="T173" s="4">
        <v>-319000</v>
      </c>
      <c r="U173" s="4">
        <v>-721000</v>
      </c>
    </row>
    <row r="174" spans="1:21" ht="16" x14ac:dyDescent="0.2">
      <c r="A174" s="3" t="s">
        <v>177</v>
      </c>
      <c r="B174" s="4" t="s">
        <v>26</v>
      </c>
      <c r="C174" s="4">
        <v>495272000</v>
      </c>
      <c r="D174" s="4">
        <v>1896000</v>
      </c>
      <c r="E174" s="4">
        <v>12105000</v>
      </c>
      <c r="F174" s="4">
        <v>527606000</v>
      </c>
      <c r="G174" s="4">
        <v>14655000</v>
      </c>
      <c r="H174" s="4">
        <v>496476000</v>
      </c>
      <c r="I174" s="4" t="s">
        <v>26</v>
      </c>
      <c r="J174" s="4" t="s">
        <v>26</v>
      </c>
      <c r="K174" s="4" t="s">
        <v>26</v>
      </c>
      <c r="L174" s="4" t="s">
        <v>26</v>
      </c>
      <c r="M174" s="4" t="s">
        <v>26</v>
      </c>
      <c r="N174" s="4">
        <v>397539000</v>
      </c>
      <c r="O174" s="4" t="s">
        <v>26</v>
      </c>
      <c r="P174" s="4" t="s">
        <v>26</v>
      </c>
      <c r="Q174" s="5" t="s">
        <v>26</v>
      </c>
      <c r="R174" s="4" t="s">
        <v>26</v>
      </c>
      <c r="S174" s="4" t="s">
        <v>26</v>
      </c>
      <c r="T174" s="4" t="s">
        <v>26</v>
      </c>
      <c r="U174" s="4" t="s">
        <v>26</v>
      </c>
    </row>
    <row r="175" spans="1:21" ht="16" x14ac:dyDescent="0.2">
      <c r="A175" s="3" t="s">
        <v>178</v>
      </c>
      <c r="B175" s="4" t="s">
        <v>26</v>
      </c>
      <c r="C175" s="4">
        <v>-726460000</v>
      </c>
      <c r="D175" s="4">
        <v>-11629000</v>
      </c>
      <c r="E175" s="4">
        <v>-14713000</v>
      </c>
      <c r="F175" s="4">
        <v>-35629000</v>
      </c>
      <c r="G175" s="4">
        <v>-33114000</v>
      </c>
      <c r="H175" s="4">
        <v>-351046000</v>
      </c>
      <c r="I175" s="4">
        <v>-10000</v>
      </c>
      <c r="J175" s="4" t="s">
        <v>26</v>
      </c>
      <c r="K175" s="4" t="s">
        <v>26</v>
      </c>
      <c r="L175" s="4" t="s">
        <v>26</v>
      </c>
      <c r="M175" s="4">
        <v>-502904000</v>
      </c>
      <c r="N175" s="4">
        <v>-403716000</v>
      </c>
      <c r="O175" s="4">
        <v>-2727000</v>
      </c>
      <c r="P175" s="4">
        <v>-2908000</v>
      </c>
      <c r="Q175" s="5">
        <v>-2437000</v>
      </c>
      <c r="R175" s="4">
        <v>-812000</v>
      </c>
      <c r="S175" s="4">
        <v>-585000</v>
      </c>
      <c r="T175" s="4">
        <v>-319000</v>
      </c>
      <c r="U175" s="4">
        <v>-721000</v>
      </c>
    </row>
    <row r="176" spans="1:21" ht="16" x14ac:dyDescent="0.2">
      <c r="A176" s="3" t="s">
        <v>179</v>
      </c>
      <c r="B176" s="4">
        <v>972559</v>
      </c>
      <c r="C176" s="4">
        <v>441442000</v>
      </c>
      <c r="D176" s="4">
        <v>18109000</v>
      </c>
      <c r="E176" s="4">
        <v>7339000</v>
      </c>
      <c r="F176" s="4">
        <v>7033000</v>
      </c>
      <c r="G176" s="4">
        <v>2475000</v>
      </c>
      <c r="H176" s="4">
        <v>6228000</v>
      </c>
      <c r="I176" s="4" t="s">
        <v>26</v>
      </c>
      <c r="J176" s="4" t="s">
        <v>26</v>
      </c>
      <c r="K176" s="4">
        <v>4000</v>
      </c>
      <c r="L176" s="4" t="s">
        <v>26</v>
      </c>
      <c r="M176" s="4">
        <v>81000</v>
      </c>
      <c r="N176" s="4">
        <v>5375000</v>
      </c>
      <c r="O176" s="4">
        <v>26771000</v>
      </c>
      <c r="P176" s="4">
        <v>9632000</v>
      </c>
      <c r="Q176" s="5">
        <v>23318000</v>
      </c>
      <c r="R176" s="4">
        <v>357000</v>
      </c>
      <c r="S176" s="4">
        <v>9612000</v>
      </c>
      <c r="T176" s="4">
        <v>4437000</v>
      </c>
      <c r="U176" s="4">
        <v>8912000</v>
      </c>
    </row>
    <row r="177" spans="1:21" ht="16" x14ac:dyDescent="0.2">
      <c r="A177" s="3" t="s">
        <v>180</v>
      </c>
      <c r="B177" s="4">
        <v>972559</v>
      </c>
      <c r="C177" s="4">
        <v>441442000</v>
      </c>
      <c r="D177" s="4">
        <v>18109000</v>
      </c>
      <c r="E177" s="4">
        <v>7339000</v>
      </c>
      <c r="F177" s="4">
        <v>7033000</v>
      </c>
      <c r="G177" s="4">
        <v>2475000</v>
      </c>
      <c r="H177" s="4">
        <v>6228000</v>
      </c>
      <c r="I177" s="4" t="s">
        <v>26</v>
      </c>
      <c r="J177" s="4" t="s">
        <v>26</v>
      </c>
      <c r="K177" s="4">
        <v>4000</v>
      </c>
      <c r="L177" s="4" t="s">
        <v>26</v>
      </c>
      <c r="M177" s="4">
        <v>81000</v>
      </c>
      <c r="N177" s="4">
        <v>5375000</v>
      </c>
      <c r="O177" s="4">
        <v>26771000</v>
      </c>
      <c r="P177" s="4">
        <v>9632000</v>
      </c>
      <c r="Q177" s="5">
        <v>23318000</v>
      </c>
      <c r="R177" s="4">
        <v>357000</v>
      </c>
      <c r="S177" s="4">
        <v>9612000</v>
      </c>
      <c r="T177" s="4">
        <v>4437000</v>
      </c>
      <c r="U177" s="4">
        <v>8912000</v>
      </c>
    </row>
    <row r="178" spans="1:21" ht="16" x14ac:dyDescent="0.2">
      <c r="A178" s="3" t="s">
        <v>181</v>
      </c>
      <c r="B178" s="4" t="s">
        <v>26</v>
      </c>
      <c r="C178" s="4" t="s">
        <v>26</v>
      </c>
      <c r="D178" s="4" t="s">
        <v>26</v>
      </c>
      <c r="E178" s="4" t="s">
        <v>26</v>
      </c>
      <c r="F178" s="4" t="s">
        <v>26</v>
      </c>
      <c r="G178" s="4" t="s">
        <v>26</v>
      </c>
      <c r="H178" s="4" t="s">
        <v>26</v>
      </c>
      <c r="I178" s="4" t="s">
        <v>26</v>
      </c>
      <c r="J178" s="4" t="s">
        <v>26</v>
      </c>
      <c r="K178" s="4" t="s">
        <v>26</v>
      </c>
      <c r="L178" s="4" t="s">
        <v>26</v>
      </c>
      <c r="M178" s="4" t="s">
        <v>26</v>
      </c>
      <c r="N178" s="4" t="s">
        <v>26</v>
      </c>
      <c r="O178" s="4" t="s">
        <v>26</v>
      </c>
      <c r="P178" s="4" t="s">
        <v>26</v>
      </c>
      <c r="Q178" s="5" t="s">
        <v>26</v>
      </c>
      <c r="R178" s="4" t="s">
        <v>26</v>
      </c>
      <c r="S178" s="4" t="s">
        <v>26</v>
      </c>
      <c r="T178" s="4" t="s">
        <v>26</v>
      </c>
      <c r="U178" s="4" t="s">
        <v>26</v>
      </c>
    </row>
    <row r="179" spans="1:21" ht="16" x14ac:dyDescent="0.2">
      <c r="A179" s="3" t="s">
        <v>182</v>
      </c>
      <c r="B179" s="4">
        <v>619496115</v>
      </c>
      <c r="C179" s="4" t="s">
        <v>26</v>
      </c>
      <c r="D179" s="4">
        <v>9811000</v>
      </c>
      <c r="E179" s="4">
        <v>-47321000</v>
      </c>
      <c r="F179" s="4">
        <v>-53956000</v>
      </c>
      <c r="G179" s="4">
        <v>-65908000</v>
      </c>
      <c r="H179" s="4">
        <v>-77350000</v>
      </c>
      <c r="I179" s="4">
        <v>-69507000</v>
      </c>
      <c r="J179" s="4">
        <v>-70446000</v>
      </c>
      <c r="K179" s="4">
        <v>-69498000</v>
      </c>
      <c r="L179" s="4">
        <v>-72976000</v>
      </c>
      <c r="M179" s="4">
        <v>-72484000</v>
      </c>
      <c r="N179" s="4">
        <v>-65547000</v>
      </c>
      <c r="O179" s="4">
        <v>-38977000</v>
      </c>
      <c r="P179" s="4">
        <v>914429000</v>
      </c>
      <c r="Q179" s="5">
        <v>912967000</v>
      </c>
      <c r="R179" s="4">
        <v>934226000</v>
      </c>
      <c r="S179" s="4">
        <v>-786000</v>
      </c>
      <c r="T179" s="4">
        <v>-19008000</v>
      </c>
      <c r="U179" s="4">
        <v>-1465000</v>
      </c>
    </row>
    <row r="180" spans="1:21" ht="16" x14ac:dyDescent="0.2">
      <c r="A180" s="3" t="s">
        <v>157</v>
      </c>
      <c r="B180" s="4" t="s">
        <v>26</v>
      </c>
      <c r="C180" s="4" t="s">
        <v>26</v>
      </c>
      <c r="D180" s="4" t="s">
        <v>26</v>
      </c>
      <c r="E180" s="4" t="s">
        <v>26</v>
      </c>
      <c r="F180" s="4" t="s">
        <v>26</v>
      </c>
      <c r="G180" s="4" t="s">
        <v>26</v>
      </c>
      <c r="H180" s="4" t="s">
        <v>26</v>
      </c>
      <c r="I180" s="4" t="s">
        <v>26</v>
      </c>
      <c r="J180" s="4" t="s">
        <v>26</v>
      </c>
      <c r="K180" s="4" t="s">
        <v>26</v>
      </c>
      <c r="L180" s="4" t="s">
        <v>26</v>
      </c>
      <c r="M180" s="4" t="s">
        <v>26</v>
      </c>
      <c r="N180" s="4" t="s">
        <v>26</v>
      </c>
      <c r="O180" s="4" t="s">
        <v>26</v>
      </c>
      <c r="P180" s="4" t="s">
        <v>26</v>
      </c>
      <c r="Q180" s="5" t="s">
        <v>26</v>
      </c>
      <c r="R180" s="4" t="s">
        <v>26</v>
      </c>
      <c r="S180" s="4" t="s">
        <v>26</v>
      </c>
      <c r="T180" s="4" t="s">
        <v>26</v>
      </c>
      <c r="U180" s="4" t="s">
        <v>26</v>
      </c>
    </row>
    <row r="181" spans="1:21" ht="16" x14ac:dyDescent="0.2">
      <c r="A181" s="3" t="s">
        <v>183</v>
      </c>
      <c r="B181" s="4">
        <v>539973288</v>
      </c>
      <c r="C181" s="4">
        <v>117651000</v>
      </c>
      <c r="D181" s="4">
        <v>-87945000</v>
      </c>
      <c r="E181" s="4">
        <v>-188607000</v>
      </c>
      <c r="F181" s="4">
        <v>286988000</v>
      </c>
      <c r="G181" s="4">
        <v>-240057000</v>
      </c>
      <c r="H181" s="4">
        <v>-83892000</v>
      </c>
      <c r="I181" s="4">
        <v>-227830000</v>
      </c>
      <c r="J181" s="4">
        <v>-228756000</v>
      </c>
      <c r="K181" s="4">
        <v>-227791000</v>
      </c>
      <c r="L181" s="4">
        <v>-144200000</v>
      </c>
      <c r="M181" s="4">
        <v>-606920000</v>
      </c>
      <c r="N181" s="4">
        <v>-97987000</v>
      </c>
      <c r="O181" s="4">
        <v>-46772000</v>
      </c>
      <c r="P181" s="4">
        <v>869258000</v>
      </c>
      <c r="Q181" s="5">
        <v>881953000</v>
      </c>
      <c r="R181" s="4">
        <v>881876000</v>
      </c>
      <c r="S181" s="4">
        <v>8241000</v>
      </c>
      <c r="T181" s="4">
        <v>-14890000</v>
      </c>
      <c r="U181" s="4">
        <v>6726000</v>
      </c>
    </row>
    <row r="182" spans="1:21" ht="16" x14ac:dyDescent="0.2">
      <c r="A182" s="3" t="s">
        <v>184</v>
      </c>
      <c r="B182" s="4">
        <v>33737251</v>
      </c>
      <c r="C182" s="4">
        <v>-9877000</v>
      </c>
      <c r="D182" s="4">
        <v>-4028000</v>
      </c>
      <c r="E182" s="4">
        <v>7618000</v>
      </c>
      <c r="F182" s="4">
        <v>-559000</v>
      </c>
      <c r="G182" s="4">
        <v>2997000</v>
      </c>
      <c r="H182" s="4">
        <v>3126000</v>
      </c>
      <c r="I182" s="4">
        <v>10648000</v>
      </c>
      <c r="J182" s="4">
        <v>-4130000</v>
      </c>
      <c r="K182" s="4">
        <v>-3863000</v>
      </c>
      <c r="L182" s="4">
        <v>8222000</v>
      </c>
      <c r="M182" s="4">
        <v>-6607000</v>
      </c>
      <c r="N182" s="4">
        <v>-1922000</v>
      </c>
      <c r="O182" s="4">
        <v>-2153000</v>
      </c>
      <c r="P182" s="4">
        <v>13184000</v>
      </c>
      <c r="Q182" s="5">
        <v>13133000</v>
      </c>
      <c r="R182" s="4">
        <v>3712000</v>
      </c>
      <c r="S182" s="4">
        <v>-1231000</v>
      </c>
      <c r="T182" s="4">
        <v>-35225000</v>
      </c>
      <c r="U182" s="4">
        <v>45877000</v>
      </c>
    </row>
    <row r="183" spans="1:21" ht="16" x14ac:dyDescent="0.2">
      <c r="A183" s="3" t="s">
        <v>185</v>
      </c>
      <c r="B183" s="4">
        <v>103507771</v>
      </c>
      <c r="C183" s="4">
        <v>1046884000</v>
      </c>
      <c r="D183" s="4">
        <v>-720580000</v>
      </c>
      <c r="E183" s="4">
        <v>15040000</v>
      </c>
      <c r="F183" s="4">
        <v>352299000</v>
      </c>
      <c r="G183" s="4">
        <v>-564587000</v>
      </c>
      <c r="H183" s="4">
        <v>375548000</v>
      </c>
      <c r="I183" s="4">
        <v>-118627000</v>
      </c>
      <c r="J183" s="4">
        <v>-134196000</v>
      </c>
      <c r="K183" s="4">
        <v>275205000</v>
      </c>
      <c r="L183" s="4">
        <v>111686000</v>
      </c>
      <c r="M183" s="4">
        <v>357510000</v>
      </c>
      <c r="N183" s="4">
        <v>-142127000</v>
      </c>
      <c r="O183" s="4">
        <v>331218000</v>
      </c>
      <c r="P183" s="4">
        <v>-116957000</v>
      </c>
      <c r="Q183" s="5">
        <v>1712474000</v>
      </c>
      <c r="R183" s="4">
        <v>197854000</v>
      </c>
      <c r="S183" s="4">
        <v>504440000</v>
      </c>
      <c r="T183" s="4">
        <v>842302000</v>
      </c>
      <c r="U183" s="4">
        <v>167878000</v>
      </c>
    </row>
    <row r="184" spans="1:21" ht="16" x14ac:dyDescent="0.2">
      <c r="A184" s="3" t="s">
        <v>56</v>
      </c>
      <c r="B184" s="4">
        <v>834684313</v>
      </c>
      <c r="C184" s="4">
        <v>834173000</v>
      </c>
      <c r="D184" s="4">
        <v>796506000</v>
      </c>
      <c r="E184" s="4">
        <v>788678000</v>
      </c>
      <c r="F184" s="4">
        <v>728975000</v>
      </c>
      <c r="G184" s="4">
        <v>624374000</v>
      </c>
      <c r="H184" s="4">
        <v>748770000</v>
      </c>
      <c r="I184" s="4">
        <v>775907000</v>
      </c>
      <c r="J184" s="4">
        <v>615061000</v>
      </c>
      <c r="K184" s="4">
        <v>567888000</v>
      </c>
      <c r="L184" s="4">
        <v>400513000</v>
      </c>
      <c r="M184" s="4">
        <v>370029000</v>
      </c>
      <c r="N184" s="4">
        <v>168355000</v>
      </c>
      <c r="O184" s="4">
        <v>79215000</v>
      </c>
      <c r="P184" s="4">
        <v>192941000</v>
      </c>
      <c r="Q184" s="5">
        <v>410709000</v>
      </c>
      <c r="R184" s="4">
        <v>-29387000</v>
      </c>
      <c r="S184" s="4">
        <v>171078000</v>
      </c>
      <c r="T184" s="4">
        <v>77403000</v>
      </c>
      <c r="U184" s="4">
        <v>191615000</v>
      </c>
    </row>
    <row r="185" spans="1:21" ht="16" x14ac:dyDescent="0.2">
      <c r="A185" s="3" t="s">
        <v>57</v>
      </c>
      <c r="B185" s="6">
        <v>29.19</v>
      </c>
      <c r="C185" s="6">
        <v>36.03</v>
      </c>
      <c r="D185" s="6">
        <v>37.51</v>
      </c>
      <c r="E185" s="6">
        <v>33.08</v>
      </c>
      <c r="F185" s="6">
        <v>31.4</v>
      </c>
      <c r="G185" s="6">
        <v>25.6</v>
      </c>
      <c r="H185" s="6">
        <v>31.23</v>
      </c>
      <c r="I185" s="6">
        <v>28.17</v>
      </c>
      <c r="J185" s="6">
        <v>25.3</v>
      </c>
      <c r="K185" s="6">
        <v>26.33</v>
      </c>
      <c r="L185" s="6">
        <v>19.149999999999999</v>
      </c>
      <c r="M185" s="6">
        <v>19.86</v>
      </c>
      <c r="N185" s="6">
        <v>9.35</v>
      </c>
      <c r="O185" s="6">
        <v>5.37</v>
      </c>
      <c r="P185" s="6">
        <v>10.33</v>
      </c>
      <c r="Q185" s="7">
        <v>18.11</v>
      </c>
      <c r="R185" s="6">
        <v>10.33</v>
      </c>
      <c r="S185" s="6">
        <v>14.69</v>
      </c>
      <c r="T185" s="6">
        <v>11.96</v>
      </c>
      <c r="U185" s="6">
        <v>18.11</v>
      </c>
    </row>
    <row r="186" spans="1:21" ht="16" x14ac:dyDescent="0.2">
      <c r="A186" s="3" t="s">
        <v>186</v>
      </c>
      <c r="B186" s="4">
        <v>503157000</v>
      </c>
      <c r="C186" s="4" t="s">
        <v>26</v>
      </c>
      <c r="D186" s="4" t="s">
        <v>26</v>
      </c>
      <c r="E186" s="4" t="s">
        <v>26</v>
      </c>
      <c r="F186" s="4">
        <v>576408000</v>
      </c>
      <c r="G186" s="4">
        <v>251992000</v>
      </c>
      <c r="H186" s="4" t="s">
        <v>26</v>
      </c>
      <c r="I186" s="4" t="s">
        <v>26</v>
      </c>
      <c r="J186" s="4" t="s">
        <v>26</v>
      </c>
      <c r="K186" s="4" t="s">
        <v>26</v>
      </c>
      <c r="L186" s="4" t="s">
        <v>26</v>
      </c>
      <c r="M186" s="4" t="s">
        <v>26</v>
      </c>
      <c r="N186" s="4" t="s">
        <v>26</v>
      </c>
      <c r="O186" s="4" t="s">
        <v>26</v>
      </c>
      <c r="P186" s="4">
        <v>101681000</v>
      </c>
      <c r="Q186" s="5">
        <v>12000</v>
      </c>
      <c r="R186" s="4">
        <v>12000</v>
      </c>
      <c r="S186" s="4" t="s">
        <v>26</v>
      </c>
      <c r="T186" s="4" t="s">
        <v>26</v>
      </c>
      <c r="U186" s="4" t="s">
        <v>26</v>
      </c>
    </row>
    <row r="187" spans="1:21" ht="16" x14ac:dyDescent="0.2">
      <c r="A187" s="3" t="s">
        <v>187</v>
      </c>
      <c r="B187" s="4">
        <v>79116076</v>
      </c>
      <c r="C187" s="4">
        <v>297394000</v>
      </c>
      <c r="D187" s="4">
        <v>36821000</v>
      </c>
      <c r="E187" s="4">
        <v>84467000</v>
      </c>
      <c r="F187" s="4">
        <v>-89736000</v>
      </c>
      <c r="G187" s="4">
        <v>-115767000</v>
      </c>
      <c r="H187" s="4">
        <v>74000</v>
      </c>
      <c r="I187" s="4">
        <v>91448000</v>
      </c>
      <c r="J187" s="4">
        <v>95472000</v>
      </c>
      <c r="K187" s="4">
        <v>482022000</v>
      </c>
      <c r="L187" s="4">
        <v>612154000</v>
      </c>
      <c r="M187" s="4">
        <v>451813000</v>
      </c>
      <c r="N187" s="4">
        <v>-20573000</v>
      </c>
      <c r="O187" s="4">
        <v>359504000</v>
      </c>
      <c r="P187" s="4">
        <v>161159000</v>
      </c>
      <c r="Q187" s="5">
        <v>420133000</v>
      </c>
      <c r="R187" s="4">
        <v>43313000</v>
      </c>
      <c r="S187" s="4">
        <v>188247000</v>
      </c>
      <c r="T187" s="4">
        <v>46928000</v>
      </c>
      <c r="U187" s="4">
        <v>141645000</v>
      </c>
    </row>
    <row r="188" spans="1:21" ht="16" x14ac:dyDescent="0.2">
      <c r="A188" s="27" t="s">
        <v>188</v>
      </c>
      <c r="B188" s="25" t="s">
        <v>26</v>
      </c>
      <c r="C188" s="25">
        <v>335326597</v>
      </c>
      <c r="D188" s="25">
        <v>84146168</v>
      </c>
      <c r="E188" s="25">
        <v>81921000</v>
      </c>
      <c r="F188" s="25">
        <v>405556000</v>
      </c>
      <c r="G188" s="25">
        <v>-134159000</v>
      </c>
      <c r="H188" s="25">
        <v>146205000</v>
      </c>
      <c r="I188" s="25">
        <v>91636000</v>
      </c>
      <c r="J188" s="25">
        <v>97640000</v>
      </c>
      <c r="K188" s="25">
        <v>483973000</v>
      </c>
      <c r="L188" s="25">
        <v>613403000</v>
      </c>
      <c r="M188" s="25">
        <v>497773527</v>
      </c>
      <c r="N188" s="25">
        <v>-20573000</v>
      </c>
      <c r="O188" s="25">
        <v>359504000</v>
      </c>
      <c r="P188" s="25">
        <v>161159000</v>
      </c>
      <c r="Q188" s="26">
        <v>476549999</v>
      </c>
      <c r="R188" s="25">
        <v>43313000</v>
      </c>
      <c r="S188" s="25">
        <v>203392119</v>
      </c>
      <c r="T188" s="25">
        <v>53857099</v>
      </c>
      <c r="U188" s="25">
        <v>156762544</v>
      </c>
    </row>
    <row r="189" spans="1:21" ht="16" x14ac:dyDescent="0.2">
      <c r="A189" s="20" t="s">
        <v>201</v>
      </c>
      <c r="B189" s="21"/>
      <c r="C189" s="22" t="e">
        <f>(C188/B188)-1</f>
        <v>#VALUE!</v>
      </c>
      <c r="D189" s="22">
        <f>(D188/C188)-1</f>
        <v>-0.74906205248013769</v>
      </c>
      <c r="E189" s="22">
        <f>(E188/D188)-1</f>
        <v>-2.6444080020376015E-2</v>
      </c>
      <c r="F189" s="22">
        <f t="shared" ref="F189:L189" si="37">(F188/E188)-1</f>
        <v>3.9505743338094019</v>
      </c>
      <c r="G189" s="22">
        <f t="shared" si="37"/>
        <v>-1.3308026511751767</v>
      </c>
      <c r="H189" s="22">
        <f t="shared" si="37"/>
        <v>-2.0897889817306332</v>
      </c>
      <c r="I189" s="22">
        <f t="shared" si="37"/>
        <v>-0.37323620943196201</v>
      </c>
      <c r="J189" s="22">
        <f t="shared" si="37"/>
        <v>6.5520101270243103E-2</v>
      </c>
      <c r="K189" s="22">
        <f t="shared" si="37"/>
        <v>3.9567083162638266</v>
      </c>
      <c r="L189" s="22">
        <f t="shared" si="37"/>
        <v>0.26743227411446502</v>
      </c>
      <c r="M189" s="22">
        <f t="shared" ref="M189" si="38">(M188/L188)-1</f>
        <v>-0.18850490297569455</v>
      </c>
      <c r="N189" s="22">
        <f t="shared" ref="N189" si="39">(N188/M188)-1</f>
        <v>-1.0413300404382493</v>
      </c>
      <c r="O189" s="22">
        <f t="shared" ref="O189" si="40">(O188/N188)-1</f>
        <v>-18.474554027122927</v>
      </c>
      <c r="P189" s="22">
        <f t="shared" ref="P189" si="41">(P188/O188)-1</f>
        <v>-0.55171847879300362</v>
      </c>
      <c r="Q189" s="22">
        <f t="shared" ref="Q189" si="42">(Q188/P188)-1</f>
        <v>1.9570175975279072</v>
      </c>
      <c r="R189" s="22"/>
      <c r="S189" s="22">
        <f t="shared" ref="S189" si="43">(S188/R188)-1</f>
        <v>3.6958677302426519</v>
      </c>
      <c r="T189" s="22">
        <f t="shared" ref="T189" si="44">(T188/S188)-1</f>
        <v>-0.73520557598399372</v>
      </c>
      <c r="U189" s="22">
        <f t="shared" ref="U189" si="45">(U188/T188)-1</f>
        <v>1.9107127363098408</v>
      </c>
    </row>
    <row r="190" spans="1:21" ht="16" x14ac:dyDescent="0.2">
      <c r="A190" s="23" t="s">
        <v>202</v>
      </c>
      <c r="B190" s="24" t="e">
        <f t="shared" ref="B190:U190" si="46">B188/B2</f>
        <v>#VALUE!</v>
      </c>
      <c r="C190" s="24">
        <f t="shared" si="46"/>
        <v>0.14485044049961446</v>
      </c>
      <c r="D190" s="24">
        <f t="shared" si="46"/>
        <v>3.9623275908751657E-2</v>
      </c>
      <c r="E190" s="24">
        <f t="shared" si="46"/>
        <v>3.4357013324923129E-2</v>
      </c>
      <c r="F190" s="24">
        <f t="shared" si="46"/>
        <v>0.17469785321462125</v>
      </c>
      <c r="G190" s="24">
        <f t="shared" si="46"/>
        <v>-5.5011987831336318E-2</v>
      </c>
      <c r="H190" s="24">
        <f t="shared" si="46"/>
        <v>6.0981459267279853E-2</v>
      </c>
      <c r="I190" s="24">
        <f t="shared" si="46"/>
        <v>3.3269217224360638E-2</v>
      </c>
      <c r="J190" s="24">
        <f t="shared" si="46"/>
        <v>4.0157867635325105E-2</v>
      </c>
      <c r="K190" s="24">
        <f t="shared" si="46"/>
        <v>0.2243885996813875</v>
      </c>
      <c r="L190" s="24">
        <f t="shared" si="46"/>
        <v>0.29326119289884928</v>
      </c>
      <c r="M190" s="24">
        <f t="shared" si="46"/>
        <v>0.26719998228592134</v>
      </c>
      <c r="N190" s="24">
        <f t="shared" si="46"/>
        <v>-1.142898093577316E-2</v>
      </c>
      <c r="O190" s="24">
        <f t="shared" si="46"/>
        <v>0.2437341693198028</v>
      </c>
      <c r="P190" s="24">
        <f t="shared" si="46"/>
        <v>8.6273416049117688E-2</v>
      </c>
      <c r="Q190" s="24">
        <f t="shared" si="46"/>
        <v>0.21014035770823319</v>
      </c>
      <c r="R190" s="24">
        <f t="shared" si="46"/>
        <v>8.2701167970457998E-2</v>
      </c>
      <c r="S190" s="24">
        <f t="shared" si="46"/>
        <v>0.29606917136722588</v>
      </c>
      <c r="T190" s="24">
        <f t="shared" si="46"/>
        <v>0.11173973364426841</v>
      </c>
      <c r="U190" s="24">
        <f t="shared" si="46"/>
        <v>0.27259305938836231</v>
      </c>
    </row>
    <row r="191" spans="1:21" ht="16" x14ac:dyDescent="0.2">
      <c r="A191" s="3" t="s">
        <v>189</v>
      </c>
      <c r="B191" s="4">
        <v>116209325</v>
      </c>
      <c r="C191" s="4">
        <v>69853000</v>
      </c>
      <c r="D191" s="4">
        <v>28525000</v>
      </c>
      <c r="E191" s="4">
        <v>81921000</v>
      </c>
      <c r="F191" s="4">
        <v>405556000</v>
      </c>
      <c r="G191" s="4">
        <v>-134159000</v>
      </c>
      <c r="H191" s="4">
        <v>146205000</v>
      </c>
      <c r="I191" s="4">
        <v>91636000</v>
      </c>
      <c r="J191" s="4">
        <v>97640000</v>
      </c>
      <c r="K191" s="4">
        <v>483973000</v>
      </c>
      <c r="L191" s="4">
        <v>613403000</v>
      </c>
      <c r="M191" s="4">
        <v>-50412000</v>
      </c>
      <c r="N191" s="4">
        <v>-26239000</v>
      </c>
      <c r="O191" s="4">
        <v>362134000</v>
      </c>
      <c r="P191" s="4">
        <v>159031000</v>
      </c>
      <c r="Q191" s="5">
        <v>417786000</v>
      </c>
      <c r="R191" s="4">
        <v>42555000</v>
      </c>
      <c r="S191" s="4">
        <v>187662000</v>
      </c>
      <c r="T191" s="4">
        <v>46645000</v>
      </c>
      <c r="U191" s="4">
        <v>140924000</v>
      </c>
    </row>
    <row r="192" spans="1:21" ht="16" x14ac:dyDescent="0.2">
      <c r="A192" s="3" t="s">
        <v>190</v>
      </c>
      <c r="B192" s="6">
        <v>0.23</v>
      </c>
      <c r="C192" s="6">
        <v>0.77</v>
      </c>
      <c r="D192" s="6">
        <v>0.09</v>
      </c>
      <c r="E192" s="6">
        <v>0.21</v>
      </c>
      <c r="F192" s="6">
        <v>-0.23</v>
      </c>
      <c r="G192" s="6">
        <v>-0.28999999999999998</v>
      </c>
      <c r="H192" s="4">
        <v>0</v>
      </c>
      <c r="I192" s="6">
        <v>0.23</v>
      </c>
      <c r="J192" s="6">
        <v>0.24</v>
      </c>
      <c r="K192" s="6">
        <v>1.22</v>
      </c>
      <c r="L192" s="6">
        <v>1.55</v>
      </c>
      <c r="M192" s="6">
        <v>1.1399999999999999</v>
      </c>
      <c r="N192" s="6">
        <v>-0.05</v>
      </c>
      <c r="O192" s="6">
        <v>0.9</v>
      </c>
      <c r="P192" s="6">
        <v>0.4</v>
      </c>
      <c r="Q192" s="7">
        <v>0.97</v>
      </c>
      <c r="R192" s="6">
        <v>0.1</v>
      </c>
      <c r="S192" s="6">
        <v>0.43</v>
      </c>
      <c r="T192" s="6">
        <v>0.11</v>
      </c>
      <c r="U192" s="6">
        <v>0.33</v>
      </c>
    </row>
    <row r="193" spans="1:21" ht="16" x14ac:dyDescent="0.2">
      <c r="A193" s="3" t="s">
        <v>191</v>
      </c>
      <c r="B193" s="6">
        <v>5.53</v>
      </c>
      <c r="C193" s="6">
        <v>12.19</v>
      </c>
      <c r="D193" s="6">
        <v>16.27</v>
      </c>
      <c r="E193" s="6">
        <v>5.28</v>
      </c>
      <c r="F193" s="6">
        <v>5.63</v>
      </c>
      <c r="G193" s="6">
        <v>7.42</v>
      </c>
      <c r="H193" s="6">
        <v>7.86</v>
      </c>
      <c r="I193" s="6">
        <v>8.35</v>
      </c>
      <c r="J193" s="6">
        <v>10.52</v>
      </c>
      <c r="K193" s="6">
        <v>6.47</v>
      </c>
      <c r="L193" s="6">
        <v>8.48</v>
      </c>
      <c r="M193" s="6">
        <v>7.6</v>
      </c>
      <c r="N193" s="6">
        <v>50.29</v>
      </c>
      <c r="O193" s="6">
        <v>19.670000000000002</v>
      </c>
      <c r="P193" s="6">
        <v>27.92</v>
      </c>
      <c r="Q193" s="7">
        <v>32.909999999999997</v>
      </c>
      <c r="R193" s="6">
        <v>29.89</v>
      </c>
      <c r="S193" s="6">
        <v>32.520000000000003</v>
      </c>
      <c r="T193" s="6">
        <v>40.53</v>
      </c>
      <c r="U193" s="6">
        <v>34.57</v>
      </c>
    </row>
    <row r="194" spans="1:21" ht="16" x14ac:dyDescent="0.2">
      <c r="A194" s="3" t="s">
        <v>192</v>
      </c>
      <c r="B194" s="6">
        <v>1.57</v>
      </c>
      <c r="C194" s="6">
        <v>0.63</v>
      </c>
      <c r="D194" s="6">
        <v>0.99</v>
      </c>
      <c r="E194" s="6">
        <v>1.62</v>
      </c>
      <c r="F194" s="6">
        <v>2.42</v>
      </c>
      <c r="G194" s="6">
        <v>1.66</v>
      </c>
      <c r="H194" s="6">
        <v>2.59</v>
      </c>
      <c r="I194" s="6">
        <v>6.89</v>
      </c>
      <c r="J194" s="6">
        <v>-5.07</v>
      </c>
      <c r="K194" s="6">
        <v>-2.91</v>
      </c>
      <c r="L194" s="6">
        <v>4.01</v>
      </c>
      <c r="M194" s="6">
        <v>7.12</v>
      </c>
      <c r="N194" s="6">
        <v>-1.07</v>
      </c>
      <c r="O194" s="6">
        <v>-4.47</v>
      </c>
      <c r="P194" s="6">
        <v>3.41</v>
      </c>
      <c r="Q194" s="7">
        <v>2.13</v>
      </c>
      <c r="R194" s="6">
        <v>-5.0199999999999996</v>
      </c>
      <c r="S194" s="6">
        <v>1.81</v>
      </c>
      <c r="T194" s="6">
        <v>6.35</v>
      </c>
      <c r="U194" s="6">
        <v>1.25</v>
      </c>
    </row>
    <row r="196" spans="1:21" ht="16" x14ac:dyDescent="0.2">
      <c r="A196" s="8"/>
    </row>
  </sheetData>
  <hyperlinks>
    <hyperlink ref="A1" r:id="rId1" tooltip="ROIC AI" display="ROIC AI" xr:uid="{00000000-0004-0000-0000-000000000000}"/>
  </hyperlinks>
  <pageMargins left="0.7" right="0.7" top="0.75" bottom="0.75" header="0.3" footer="0.3"/>
  <ignoredErrors>
    <ignoredError sqref="B1:U1 A4:U7 A15:U16 A19:U33 A37:U55 A2:U2 A9:U11 A13:U13 A191:U195 A96:G96 N96 Q96 T96:U96 L96 A97:U128 A130:U142 A144:U187 A188:D188 Q188 S188:U188 M188 A57:U95 A56:P56 R56:T5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15873-132A-6843-AB16-E093E5CD8362}">
  <dimension ref="A1:R110"/>
  <sheetViews>
    <sheetView tabSelected="1" workbookViewId="0">
      <selection activeCell="L14" sqref="L14"/>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4" cm="1">
        <f t="array" ref="A3">_FV(A1,"Market cap",TRUE)</f>
        <v>26102770000</v>
      </c>
      <c r="B3" s="35" t="s">
        <v>203</v>
      </c>
      <c r="C3" s="36">
        <f>Financials!Q8*0.01</f>
        <v>0.218</v>
      </c>
      <c r="D3" s="35" t="s">
        <v>204</v>
      </c>
      <c r="E3" s="36">
        <f>SUM(C11:E11)/3</f>
        <v>1.7373477449890113E-2</v>
      </c>
      <c r="F3" s="37" t="s">
        <v>205</v>
      </c>
      <c r="G3" s="38">
        <f>AVERAGE(Financials!M129:Q129)</f>
        <v>1.9080341675924872E-2</v>
      </c>
      <c r="H3" s="37" t="s">
        <v>206</v>
      </c>
      <c r="I3" s="39">
        <f>J15*(1+I7)/(I6-I7)</f>
        <v>22577456226.288738</v>
      </c>
      <c r="J3" s="40" t="s">
        <v>207</v>
      </c>
      <c r="K3" s="41">
        <f>(Financials!Q172*-1)/A3</f>
        <v>1.9881031783216879E-3</v>
      </c>
      <c r="L3" s="42" t="s">
        <v>208</v>
      </c>
      <c r="M3" s="43"/>
      <c r="N3" s="116" t="s">
        <v>209</v>
      </c>
      <c r="O3" s="117"/>
      <c r="P3" s="43"/>
      <c r="Q3" s="43"/>
      <c r="R3" s="43"/>
    </row>
    <row r="4" spans="1:18" ht="22" customHeight="1" x14ac:dyDescent="0.2">
      <c r="A4" s="44">
        <f>Financials!Q56-Financials!Q96-Financials!Q105</f>
        <v>1230839000</v>
      </c>
      <c r="B4" s="45" t="s">
        <v>210</v>
      </c>
      <c r="C4" s="46">
        <f>Financials!Q17*0.01</f>
        <v>9.1899999999999996E-2</v>
      </c>
      <c r="D4" s="45" t="s">
        <v>211</v>
      </c>
      <c r="E4" s="46">
        <f>SUM(C13:E13)/3</f>
        <v>-0.88686721111349842</v>
      </c>
      <c r="F4" s="47" t="s">
        <v>212</v>
      </c>
      <c r="G4" s="48">
        <f>A5*(1+(5*G3))</f>
        <v>475256900.36680907</v>
      </c>
      <c r="H4" s="47" t="s">
        <v>213</v>
      </c>
      <c r="I4" s="49">
        <f>NPV(I6,F15,G15,H15,I15,(J15+I3))</f>
        <v>18878699210.028282</v>
      </c>
      <c r="J4" s="47" t="s">
        <v>214</v>
      </c>
      <c r="K4" s="50" cm="1">
        <f t="array" ref="K4">_FV(A1,"Change (%)",TRUE)</f>
        <v>1.9222E-2</v>
      </c>
      <c r="L4" s="51" t="s">
        <v>215</v>
      </c>
      <c r="M4" s="43"/>
      <c r="N4" s="118" t="s">
        <v>216</v>
      </c>
      <c r="O4" s="119"/>
      <c r="P4" s="43"/>
      <c r="Q4" s="43"/>
      <c r="R4" s="43"/>
    </row>
    <row r="5" spans="1:18" ht="22" customHeight="1" x14ac:dyDescent="0.2">
      <c r="A5" s="44" cm="1">
        <f t="array" ref="A5">_FV(A1,"Shares outstanding",TRUE)</f>
        <v>433865400</v>
      </c>
      <c r="B5" s="45" t="s">
        <v>217</v>
      </c>
      <c r="C5" s="46">
        <f>F14</f>
        <v>0.16473118279569893</v>
      </c>
      <c r="D5" s="52" t="s">
        <v>218</v>
      </c>
      <c r="E5" s="46">
        <f>SUM(C16:E16)/3</f>
        <v>-6.6892008487847265</v>
      </c>
      <c r="F5" s="47" t="s">
        <v>219</v>
      </c>
      <c r="G5" s="48">
        <f>Financials!Q56</f>
        <v>2228421000</v>
      </c>
      <c r="H5" s="47" t="s">
        <v>220</v>
      </c>
      <c r="I5" s="49">
        <f>I4+G5-G6</f>
        <v>20109538210.028282</v>
      </c>
      <c r="J5" s="47" t="s">
        <v>221</v>
      </c>
      <c r="K5" s="53" cm="1">
        <f t="array" ref="K5">_FV(A1,"Price")</f>
        <v>45.07</v>
      </c>
      <c r="L5" s="54" t="s">
        <v>222</v>
      </c>
      <c r="M5" s="43"/>
      <c r="N5" s="55" t="s">
        <v>223</v>
      </c>
      <c r="O5" s="56">
        <f>Financials!Q20</f>
        <v>-37551000</v>
      </c>
      <c r="P5" s="43"/>
      <c r="Q5" s="43"/>
      <c r="R5" s="43"/>
    </row>
    <row r="6" spans="1:18" ht="22" customHeight="1" x14ac:dyDescent="0.2">
      <c r="A6" s="57">
        <f>O20/F10</f>
        <v>10.323486326193878</v>
      </c>
      <c r="B6" s="45" t="s">
        <v>224</v>
      </c>
      <c r="C6" s="46">
        <f>F17</f>
        <v>9.3010752688172049E-2</v>
      </c>
      <c r="D6" s="52" t="s">
        <v>202</v>
      </c>
      <c r="E6" s="46">
        <f>Financials!Q33/Financials!Q126</f>
        <v>4.3418339402545976E-2</v>
      </c>
      <c r="F6" s="45" t="s">
        <v>225</v>
      </c>
      <c r="G6" s="48">
        <f>Financials!Q96+Financials!Q105</f>
        <v>997582000</v>
      </c>
      <c r="H6" s="47" t="s">
        <v>226</v>
      </c>
      <c r="I6" s="50">
        <f>N25</f>
        <v>7.5977222520749399E-2</v>
      </c>
      <c r="J6" s="47" t="s">
        <v>227</v>
      </c>
      <c r="K6" s="58">
        <f>I5/G4</f>
        <v>42.312985239156959</v>
      </c>
      <c r="L6" s="59" t="s">
        <v>228</v>
      </c>
      <c r="M6" s="43"/>
      <c r="N6" s="55" t="s">
        <v>229</v>
      </c>
      <c r="O6" s="56">
        <f>Financials!Q96</f>
        <v>499717000</v>
      </c>
      <c r="P6" s="43"/>
      <c r="Q6" s="43"/>
      <c r="R6" s="43"/>
    </row>
    <row r="7" spans="1:18" ht="22" customHeight="1" thickBot="1" x14ac:dyDescent="0.25">
      <c r="A7" s="60">
        <f>O20/F12</f>
        <v>62.668683311751344</v>
      </c>
      <c r="B7" s="61" t="s">
        <v>230</v>
      </c>
      <c r="C7" s="62">
        <f>F15/A3</f>
        <v>9.0096261814359164E-3</v>
      </c>
      <c r="D7" s="61" t="s">
        <v>231</v>
      </c>
      <c r="E7" s="63">
        <f>(Financials!Q16*(1-0.25))/(Financials!Q126+Financials!Q105+Financials!Q96)</f>
        <v>2.1997638313343826E-2</v>
      </c>
      <c r="F7" s="61" t="s">
        <v>198</v>
      </c>
      <c r="G7" s="64">
        <f>(Financials!Q96+Financials!Q105)/Financials!Q126</f>
        <v>0.16324641046969046</v>
      </c>
      <c r="H7" s="65" t="s">
        <v>232</v>
      </c>
      <c r="I7" s="66">
        <v>2.5000000000000001E-2</v>
      </c>
      <c r="J7" s="67" t="s">
        <v>233</v>
      </c>
      <c r="K7" s="68">
        <f>K6/K5-1</f>
        <v>-6.1171838492190878E-2</v>
      </c>
      <c r="L7" s="69" t="s">
        <v>234</v>
      </c>
      <c r="M7" s="43"/>
      <c r="N7" s="55" t="s">
        <v>235</v>
      </c>
      <c r="O7" s="56">
        <f>Financials!Q105</f>
        <v>497865000</v>
      </c>
      <c r="P7" s="43"/>
      <c r="Q7" s="43"/>
      <c r="R7" s="43"/>
    </row>
    <row r="8" spans="1:18" ht="22" customHeight="1" x14ac:dyDescent="0.2">
      <c r="A8" s="70"/>
      <c r="B8" s="43"/>
      <c r="C8" s="43"/>
      <c r="D8" s="43"/>
      <c r="E8" s="43"/>
      <c r="F8" s="43"/>
      <c r="G8" s="43"/>
      <c r="H8" s="43"/>
      <c r="I8" s="43"/>
      <c r="J8" s="43"/>
      <c r="K8" s="106" cm="1">
        <f t="array" ref="K8">_FV(L8,"Previous close",TRUE)</f>
        <v>1.3593999999999999</v>
      </c>
      <c r="L8" s="107" t="e" vm="2">
        <v>#VALUE!</v>
      </c>
      <c r="M8" s="43"/>
      <c r="N8" s="71" t="s">
        <v>216</v>
      </c>
      <c r="O8" s="72">
        <f>O5/(O6+O7)</f>
        <v>-3.7642018400492389E-2</v>
      </c>
      <c r="P8" s="43"/>
      <c r="Q8" s="43"/>
      <c r="R8" s="43"/>
    </row>
    <row r="9" spans="1:18" ht="22" customHeight="1" x14ac:dyDescent="0.2">
      <c r="A9" s="108" t="s">
        <v>254</v>
      </c>
      <c r="B9" s="73">
        <v>2019</v>
      </c>
      <c r="C9" s="73">
        <v>2020</v>
      </c>
      <c r="D9" s="73">
        <v>2021</v>
      </c>
      <c r="E9" s="73">
        <v>2022</v>
      </c>
      <c r="F9" s="74">
        <v>2023</v>
      </c>
      <c r="G9" s="75">
        <v>2024</v>
      </c>
      <c r="H9" s="75">
        <v>2025</v>
      </c>
      <c r="I9" s="75">
        <v>2026</v>
      </c>
      <c r="J9" s="76">
        <v>2027</v>
      </c>
      <c r="K9" s="77"/>
      <c r="L9" s="78"/>
      <c r="M9" s="78"/>
      <c r="N9" s="55" t="s">
        <v>236</v>
      </c>
      <c r="O9" s="56">
        <f>Financials!Q25</f>
        <v>95315000</v>
      </c>
      <c r="P9" s="43"/>
      <c r="Q9" s="43"/>
      <c r="R9" s="43"/>
    </row>
    <row r="10" spans="1:18" ht="22" customHeight="1" x14ac:dyDescent="0.2">
      <c r="A10" s="79" t="s">
        <v>237</v>
      </c>
      <c r="B10" s="80">
        <v>1862925000</v>
      </c>
      <c r="C10" s="80">
        <v>1800073000</v>
      </c>
      <c r="D10" s="80">
        <v>1474984000</v>
      </c>
      <c r="E10" s="80">
        <v>1868003000</v>
      </c>
      <c r="F10" s="81">
        <f>K8*1860000000</f>
        <v>2528484000</v>
      </c>
      <c r="G10" s="80">
        <f>K8*2010000000</f>
        <v>2732394000</v>
      </c>
      <c r="H10" s="80">
        <f>K8*2023000000</f>
        <v>2750066200</v>
      </c>
      <c r="I10" s="80">
        <f>K8*2215000000</f>
        <v>3011071000</v>
      </c>
      <c r="J10" s="82">
        <f>K8*2221000000</f>
        <v>3019227400</v>
      </c>
      <c r="K10" s="83" t="s">
        <v>238</v>
      </c>
      <c r="L10" s="78"/>
      <c r="N10" s="55" t="s">
        <v>239</v>
      </c>
      <c r="O10" s="56">
        <f>Financials!Q24</f>
        <v>360616000</v>
      </c>
      <c r="P10" s="43"/>
      <c r="Q10" s="43"/>
      <c r="R10" s="43"/>
    </row>
    <row r="11" spans="1:18" ht="22" customHeight="1" x14ac:dyDescent="0.2">
      <c r="A11" s="84"/>
      <c r="B11" s="85"/>
      <c r="C11" s="85">
        <f t="shared" ref="C11:J11" si="0">(C10/B10)-1</f>
        <v>-3.3738341586483589E-2</v>
      </c>
      <c r="D11" s="85">
        <f t="shared" si="0"/>
        <v>-0.18059767576092745</v>
      </c>
      <c r="E11" s="85">
        <f t="shared" si="0"/>
        <v>0.26645644969708138</v>
      </c>
      <c r="F11" s="86">
        <f t="shared" si="0"/>
        <v>0.35357598462100981</v>
      </c>
      <c r="G11" s="85">
        <f t="shared" si="0"/>
        <v>8.0645161290322509E-2</v>
      </c>
      <c r="H11" s="85">
        <f t="shared" si="0"/>
        <v>6.4676616915422258E-3</v>
      </c>
      <c r="I11" s="85">
        <f t="shared" si="0"/>
        <v>9.4908551655956463E-2</v>
      </c>
      <c r="J11" s="87">
        <f t="shared" si="0"/>
        <v>2.7088036117381975E-3</v>
      </c>
      <c r="K11" s="88">
        <f>AVERAGE(F11:J11)</f>
        <v>0.10766123257411384</v>
      </c>
      <c r="L11" s="78"/>
      <c r="M11" s="78"/>
      <c r="N11" s="55" t="s">
        <v>240</v>
      </c>
      <c r="O11" s="89">
        <f>O9/O10</f>
        <v>0.26431162233511546</v>
      </c>
      <c r="P11" s="43"/>
      <c r="Q11" s="43"/>
      <c r="R11" s="43"/>
    </row>
    <row r="12" spans="1:18" ht="22" customHeight="1" x14ac:dyDescent="0.2">
      <c r="A12" s="79" t="s">
        <v>144</v>
      </c>
      <c r="B12" s="80">
        <v>74000000</v>
      </c>
      <c r="C12" s="80">
        <v>-53169000</v>
      </c>
      <c r="D12" s="80">
        <v>-102577000</v>
      </c>
      <c r="E12" s="80">
        <v>89382000</v>
      </c>
      <c r="F12" s="81">
        <f>K8*306400000</f>
        <v>416520160</v>
      </c>
      <c r="G12" s="80">
        <f>K8*500000000</f>
        <v>679700000</v>
      </c>
      <c r="H12" s="80">
        <f>K8*649000000</f>
        <v>882250600</v>
      </c>
      <c r="I12" s="80">
        <f>K8*586000000</f>
        <v>796608400</v>
      </c>
      <c r="J12" s="82">
        <f>K8*650000000</f>
        <v>883610000</v>
      </c>
      <c r="K12" s="83" t="s">
        <v>241</v>
      </c>
      <c r="L12" s="78"/>
      <c r="M12" s="78"/>
      <c r="N12" s="55" t="s">
        <v>242</v>
      </c>
      <c r="O12" s="89">
        <f>O8*(1-O11)</f>
        <v>-2.769279544908998E-2</v>
      </c>
      <c r="P12" s="43"/>
      <c r="Q12" s="43"/>
      <c r="R12" s="43"/>
    </row>
    <row r="13" spans="1:18" ht="22" customHeight="1" x14ac:dyDescent="0.2">
      <c r="A13" s="84"/>
      <c r="B13" s="85"/>
      <c r="C13" s="85">
        <f t="shared" ref="C13:J13" si="1">(C12/B12)-1</f>
        <v>-1.7185000000000001</v>
      </c>
      <c r="D13" s="85">
        <f t="shared" si="1"/>
        <v>0.92926329252007744</v>
      </c>
      <c r="E13" s="87">
        <f t="shared" si="1"/>
        <v>-1.8713649258605729</v>
      </c>
      <c r="F13" s="85">
        <f t="shared" si="1"/>
        <v>3.6600004475173975</v>
      </c>
      <c r="G13" s="85">
        <f t="shared" si="1"/>
        <v>0.63185378590078334</v>
      </c>
      <c r="H13" s="85">
        <f t="shared" si="1"/>
        <v>0.29800000000000004</v>
      </c>
      <c r="I13" s="85">
        <f t="shared" si="1"/>
        <v>-9.7072419106317365E-2</v>
      </c>
      <c r="J13" s="87">
        <f t="shared" si="1"/>
        <v>0.10921501706484649</v>
      </c>
      <c r="K13" s="88">
        <f>AVERAGE(G13:J13)</f>
        <v>0.23549909596482813</v>
      </c>
      <c r="L13" s="78"/>
      <c r="M13" s="78"/>
      <c r="N13" s="118" t="s">
        <v>243</v>
      </c>
      <c r="O13" s="119"/>
      <c r="P13" s="43"/>
      <c r="Q13" s="43"/>
      <c r="R13" s="43"/>
    </row>
    <row r="14" spans="1:18" ht="22" customHeight="1" x14ac:dyDescent="0.2">
      <c r="A14" s="90" t="s">
        <v>244</v>
      </c>
      <c r="B14" s="91">
        <f>B12/B10</f>
        <v>3.9722479434223065E-2</v>
      </c>
      <c r="C14" s="91">
        <f t="shared" ref="C14:J14" si="2">C12/C10</f>
        <v>-2.953713543839611E-2</v>
      </c>
      <c r="D14" s="91">
        <f t="shared" si="2"/>
        <v>-6.9544483194393977E-2</v>
      </c>
      <c r="E14" s="91">
        <f t="shared" si="2"/>
        <v>4.7848959557345465E-2</v>
      </c>
      <c r="F14" s="92">
        <f t="shared" si="2"/>
        <v>0.16473118279569893</v>
      </c>
      <c r="G14" s="91">
        <f t="shared" si="2"/>
        <v>0.24875621890547264</v>
      </c>
      <c r="H14" s="91">
        <f t="shared" si="2"/>
        <v>0.3208106772120613</v>
      </c>
      <c r="I14" s="91">
        <f t="shared" si="2"/>
        <v>0.26455981941309253</v>
      </c>
      <c r="J14" s="93">
        <f t="shared" si="2"/>
        <v>0.29266096352994148</v>
      </c>
      <c r="K14" s="93"/>
      <c r="L14" s="78"/>
      <c r="M14" s="78"/>
      <c r="N14" s="55" t="s">
        <v>245</v>
      </c>
      <c r="O14" s="89">
        <f>'[1]US Treasury Bonds'!$C$8</f>
        <v>4.1210000000000004E-2</v>
      </c>
      <c r="P14" s="43"/>
      <c r="Q14" s="43"/>
      <c r="R14" s="43"/>
    </row>
    <row r="15" spans="1:18" ht="22" customHeight="1" x14ac:dyDescent="0.2">
      <c r="A15" s="79" t="s">
        <v>187</v>
      </c>
      <c r="B15" s="80">
        <v>497773527</v>
      </c>
      <c r="C15" s="80">
        <v>-20573000</v>
      </c>
      <c r="D15" s="80">
        <v>359504000</v>
      </c>
      <c r="E15" s="80">
        <v>161159000</v>
      </c>
      <c r="F15" s="81">
        <f>K8*173000000</f>
        <v>235176200</v>
      </c>
      <c r="G15" s="80">
        <f>K8*619000000</f>
        <v>841468600</v>
      </c>
      <c r="H15" s="80">
        <f>K8*677000000</f>
        <v>920313800</v>
      </c>
      <c r="I15" s="80">
        <f>K8*750000000</f>
        <v>1019550000</v>
      </c>
      <c r="J15" s="82">
        <f>K8*826000000</f>
        <v>1122864400</v>
      </c>
      <c r="K15" s="83" t="s">
        <v>246</v>
      </c>
      <c r="L15" s="78"/>
      <c r="M15" s="78"/>
      <c r="N15" s="55" t="s">
        <v>247</v>
      </c>
      <c r="O15" s="94" cm="1">
        <f t="array" ref="O15">_FV(A1,"Beta")</f>
        <v>0.90510000000000002</v>
      </c>
      <c r="P15" s="43"/>
      <c r="Q15" s="43"/>
      <c r="R15" s="43"/>
    </row>
    <row r="16" spans="1:18" ht="22" customHeight="1" x14ac:dyDescent="0.2">
      <c r="A16" s="95"/>
      <c r="B16" s="85"/>
      <c r="C16" s="85">
        <f t="shared" ref="C16:J16" si="3">(C15/B15)-1</f>
        <v>-1.0413300404382493</v>
      </c>
      <c r="D16" s="85">
        <f t="shared" si="3"/>
        <v>-18.474554027122927</v>
      </c>
      <c r="E16" s="85">
        <f t="shared" si="3"/>
        <v>-0.55171847879300362</v>
      </c>
      <c r="F16" s="86">
        <f t="shared" si="3"/>
        <v>0.45928058625332735</v>
      </c>
      <c r="G16" s="85">
        <f t="shared" si="3"/>
        <v>2.5780346820809248</v>
      </c>
      <c r="H16" s="85">
        <f t="shared" si="3"/>
        <v>9.3699515347334339E-2</v>
      </c>
      <c r="I16" s="85">
        <f t="shared" si="3"/>
        <v>0.10782865583456425</v>
      </c>
      <c r="J16" s="87">
        <f t="shared" si="3"/>
        <v>0.10133333333333328</v>
      </c>
      <c r="K16" s="88">
        <f>AVERAGE(E16:J16)</f>
        <v>0.46474304900941338</v>
      </c>
      <c r="L16" s="78"/>
      <c r="M16" s="78"/>
      <c r="N16" s="55" t="s">
        <v>248</v>
      </c>
      <c r="O16" s="89">
        <v>8.4000000000000005E-2</v>
      </c>
      <c r="P16" s="43"/>
      <c r="Q16" s="43"/>
      <c r="R16" s="43"/>
    </row>
    <row r="17" spans="1:18" ht="22" customHeight="1" x14ac:dyDescent="0.2">
      <c r="A17" s="90" t="s">
        <v>202</v>
      </c>
      <c r="B17" s="91">
        <f>B15/B10</f>
        <v>0.26719998228592134</v>
      </c>
      <c r="C17" s="91">
        <f t="shared" ref="C17:J17" si="4">C15/C10</f>
        <v>-1.142898093577316E-2</v>
      </c>
      <c r="D17" s="91">
        <f t="shared" si="4"/>
        <v>0.2437341693198028</v>
      </c>
      <c r="E17" s="93">
        <f t="shared" si="4"/>
        <v>8.6273416049117688E-2</v>
      </c>
      <c r="F17" s="91">
        <f t="shared" si="4"/>
        <v>9.3010752688172049E-2</v>
      </c>
      <c r="G17" s="91">
        <f t="shared" si="4"/>
        <v>0.30796019900497512</v>
      </c>
      <c r="H17" s="91">
        <f t="shared" si="4"/>
        <v>0.33465150766188828</v>
      </c>
      <c r="I17" s="91">
        <f t="shared" si="4"/>
        <v>0.33860045146726864</v>
      </c>
      <c r="J17" s="93">
        <f t="shared" si="4"/>
        <v>0.37190454750112562</v>
      </c>
      <c r="K17" s="93"/>
      <c r="L17" s="78"/>
      <c r="M17" s="78"/>
      <c r="N17" s="96" t="s">
        <v>243</v>
      </c>
      <c r="O17" s="97">
        <f>(O14)+((O15)*(O16-O14))</f>
        <v>7.9939229000000001E-2</v>
      </c>
      <c r="P17" s="43"/>
      <c r="Q17" s="43"/>
      <c r="R17" s="43"/>
    </row>
    <row r="18" spans="1:18" ht="22" customHeight="1" x14ac:dyDescent="0.2">
      <c r="A18" s="98" t="s">
        <v>198</v>
      </c>
      <c r="B18" s="99">
        <v>1.1801362589229968E-2</v>
      </c>
      <c r="C18" s="99">
        <v>-5.055038935852036E-3</v>
      </c>
      <c r="D18" s="99">
        <v>-1.4275400199033996E-2</v>
      </c>
      <c r="E18" s="99">
        <v>1.7084207453024374E-3</v>
      </c>
      <c r="F18" s="100"/>
      <c r="G18" s="99"/>
      <c r="H18" s="99"/>
      <c r="I18" s="99"/>
      <c r="J18" s="101"/>
      <c r="K18" s="102"/>
      <c r="L18" s="78"/>
      <c r="M18" s="78"/>
      <c r="N18" s="118" t="s">
        <v>249</v>
      </c>
      <c r="O18" s="119"/>
      <c r="P18" s="43"/>
      <c r="Q18" s="43"/>
      <c r="R18" s="43"/>
    </row>
    <row r="19" spans="1:18" ht="22" customHeight="1" x14ac:dyDescent="0.2">
      <c r="A19" s="78"/>
      <c r="B19" s="78"/>
      <c r="C19" s="78"/>
      <c r="D19" s="78"/>
      <c r="E19" s="78"/>
      <c r="F19" s="78"/>
      <c r="G19" s="78"/>
      <c r="H19" s="78"/>
      <c r="I19" s="78"/>
      <c r="J19" s="78"/>
      <c r="K19" s="78"/>
      <c r="L19" s="78"/>
      <c r="M19" s="78"/>
      <c r="N19" s="55" t="s">
        <v>226</v>
      </c>
      <c r="O19" s="103">
        <f>O6+O7</f>
        <v>997582000</v>
      </c>
      <c r="P19" s="43"/>
      <c r="Q19" s="43"/>
      <c r="R19" s="43"/>
    </row>
    <row r="20" spans="1:18" ht="22" customHeight="1" x14ac:dyDescent="0.2">
      <c r="A20" s="78"/>
      <c r="B20" s="78"/>
      <c r="C20" s="78"/>
      <c r="D20" s="78"/>
      <c r="E20" s="78"/>
      <c r="F20" s="78"/>
      <c r="G20" s="78"/>
      <c r="H20" s="78"/>
      <c r="I20" s="78"/>
      <c r="J20" s="78"/>
      <c r="K20" s="78"/>
      <c r="L20" s="78"/>
      <c r="M20" s="78"/>
      <c r="N20" s="55" t="s">
        <v>203</v>
      </c>
      <c r="O20" s="103" cm="1">
        <f t="array" ref="O20">_FV(A1,"Market cap",TRUE)</f>
        <v>26102770000</v>
      </c>
      <c r="P20" s="43"/>
      <c r="Q20" s="43"/>
      <c r="R20" s="43"/>
    </row>
    <row r="21" spans="1:18" ht="22" customHeight="1" x14ac:dyDescent="0.2">
      <c r="A21" s="120" t="str" cm="1">
        <f t="array" ref="A21">_FV(A1,"Industry")</f>
        <v>Uranium</v>
      </c>
      <c r="B21" s="120"/>
      <c r="C21" s="120"/>
      <c r="D21" s="121" cm="1">
        <f t="array" ref="D21">_FV(A1,"Year incorporated",TRUE)</f>
        <v>1997</v>
      </c>
      <c r="E21" s="122"/>
      <c r="F21" s="78"/>
      <c r="G21" s="78"/>
      <c r="H21" s="78"/>
      <c r="I21" s="78"/>
      <c r="J21" s="78"/>
      <c r="K21" s="78"/>
      <c r="M21" s="78"/>
      <c r="N21" s="55" t="s">
        <v>250</v>
      </c>
      <c r="O21" s="103">
        <f>O19+O20</f>
        <v>27100352000</v>
      </c>
      <c r="P21" s="43"/>
      <c r="Q21" s="43"/>
      <c r="R21" s="43"/>
    </row>
    <row r="22" spans="1:18" ht="22" customHeight="1" x14ac:dyDescent="0.2">
      <c r="A22" s="109" t="str" cm="1">
        <f t="array" ref="A22">_FV(A1,"Description")</f>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c>
      <c r="B22" s="109"/>
      <c r="C22" s="109"/>
      <c r="D22" s="109"/>
      <c r="E22" s="109"/>
      <c r="F22" s="78"/>
      <c r="G22" s="78"/>
      <c r="H22" s="78"/>
      <c r="I22" s="78"/>
      <c r="J22" s="78"/>
      <c r="K22" s="78"/>
      <c r="L22" s="78"/>
      <c r="M22" s="78"/>
      <c r="N22" s="71" t="s">
        <v>251</v>
      </c>
      <c r="O22" s="104">
        <f>(O19/O21)</f>
        <v>3.6810665780282116E-2</v>
      </c>
      <c r="P22" s="43"/>
      <c r="Q22" s="43"/>
      <c r="R22" s="43"/>
    </row>
    <row r="23" spans="1:18" ht="22" customHeight="1" x14ac:dyDescent="0.2">
      <c r="A23" s="109"/>
      <c r="B23" s="109"/>
      <c r="C23" s="109"/>
      <c r="D23" s="109"/>
      <c r="E23" s="109"/>
      <c r="F23" s="78"/>
      <c r="G23" s="78"/>
      <c r="H23" s="78"/>
      <c r="I23" s="78"/>
      <c r="J23" s="78"/>
      <c r="K23" s="78"/>
      <c r="L23" s="78"/>
      <c r="M23" s="78"/>
      <c r="N23" s="96" t="s">
        <v>252</v>
      </c>
      <c r="O23" s="105">
        <f>O20/O21</f>
        <v>0.96318933421971786</v>
      </c>
      <c r="P23" s="43"/>
      <c r="Q23" s="43"/>
      <c r="R23" s="43"/>
    </row>
    <row r="24" spans="1:18" ht="22" customHeight="1" x14ac:dyDescent="0.2">
      <c r="A24" s="109"/>
      <c r="B24" s="109"/>
      <c r="C24" s="109"/>
      <c r="D24" s="109"/>
      <c r="E24" s="109"/>
      <c r="F24" s="78"/>
      <c r="G24" s="78"/>
      <c r="H24" s="78"/>
      <c r="I24" s="78"/>
      <c r="J24" s="78"/>
      <c r="K24" s="78"/>
      <c r="L24" s="78"/>
      <c r="M24" s="78"/>
      <c r="N24" s="110" t="s">
        <v>253</v>
      </c>
      <c r="O24" s="111"/>
      <c r="P24" s="43"/>
      <c r="Q24" s="43"/>
      <c r="R24" s="43"/>
    </row>
    <row r="25" spans="1:18" ht="22" customHeight="1" x14ac:dyDescent="0.2">
      <c r="A25" s="109"/>
      <c r="B25" s="109"/>
      <c r="C25" s="109"/>
      <c r="D25" s="109"/>
      <c r="E25" s="109"/>
      <c r="F25" s="78"/>
      <c r="G25" s="78"/>
      <c r="H25" s="78"/>
      <c r="I25" s="78"/>
      <c r="J25" s="78"/>
      <c r="K25" s="78"/>
      <c r="L25" s="78"/>
      <c r="M25" s="78"/>
      <c r="N25" s="112">
        <f>(O22*O12)+(O23*O17)</f>
        <v>7.5977222520749399E-2</v>
      </c>
      <c r="O25" s="113"/>
      <c r="P25" s="43"/>
      <c r="Q25" s="43"/>
      <c r="R25" s="43"/>
    </row>
    <row r="26" spans="1:18" ht="22" customHeight="1" x14ac:dyDescent="0.2">
      <c r="A26" s="109"/>
      <c r="B26" s="109"/>
      <c r="C26" s="109"/>
      <c r="D26" s="109"/>
      <c r="E26" s="109"/>
      <c r="F26" s="78"/>
      <c r="G26" s="78"/>
      <c r="H26" s="78"/>
      <c r="I26" s="78"/>
      <c r="J26" s="78"/>
      <c r="K26" s="78"/>
      <c r="L26" s="78"/>
      <c r="M26" s="78"/>
      <c r="N26" s="78"/>
      <c r="O26" s="43"/>
      <c r="P26" s="43"/>
      <c r="Q26" s="43"/>
      <c r="R26" s="43"/>
    </row>
    <row r="27" spans="1:18" ht="22" customHeight="1" x14ac:dyDescent="0.2">
      <c r="A27" s="109"/>
      <c r="B27" s="109"/>
      <c r="C27" s="109"/>
      <c r="D27" s="109"/>
      <c r="E27" s="109"/>
      <c r="F27" s="78"/>
      <c r="G27" s="78"/>
      <c r="H27" s="78"/>
      <c r="I27" s="78"/>
      <c r="J27" s="78"/>
      <c r="K27" s="78"/>
      <c r="L27" s="78"/>
      <c r="M27" s="78"/>
      <c r="N27" s="78"/>
      <c r="O27" s="43"/>
      <c r="P27" s="43"/>
      <c r="Q27" s="43"/>
      <c r="R27" s="43"/>
    </row>
    <row r="28" spans="1:18" ht="22" customHeight="1" x14ac:dyDescent="0.2">
      <c r="A28" s="109"/>
      <c r="B28" s="109"/>
      <c r="C28" s="109"/>
      <c r="D28" s="109"/>
      <c r="E28" s="109"/>
      <c r="F28" s="78"/>
      <c r="G28" s="78"/>
      <c r="H28" s="78"/>
      <c r="I28" s="78"/>
      <c r="J28" s="78"/>
      <c r="K28" s="78"/>
      <c r="L28" s="78"/>
      <c r="M28" s="78"/>
      <c r="N28" s="78"/>
      <c r="O28" s="43"/>
      <c r="P28" s="43"/>
      <c r="Q28" s="43"/>
      <c r="R28" s="43"/>
    </row>
    <row r="29" spans="1:18" ht="22" customHeight="1" x14ac:dyDescent="0.2">
      <c r="A29" s="109"/>
      <c r="B29" s="109"/>
      <c r="C29" s="109"/>
      <c r="D29" s="109"/>
      <c r="E29" s="109"/>
      <c r="F29" s="78"/>
      <c r="G29" s="78"/>
      <c r="H29" s="78"/>
      <c r="I29" s="78"/>
      <c r="J29" s="78"/>
      <c r="K29" s="78"/>
      <c r="L29" s="78"/>
      <c r="M29" s="78"/>
      <c r="N29" s="78"/>
      <c r="O29" s="43"/>
      <c r="P29" s="43"/>
      <c r="Q29" s="43"/>
      <c r="R29" s="43"/>
    </row>
    <row r="30" spans="1:18" ht="22" customHeight="1" x14ac:dyDescent="0.2">
      <c r="A30" s="109"/>
      <c r="B30" s="109"/>
      <c r="C30" s="109"/>
      <c r="D30" s="109"/>
      <c r="E30" s="109"/>
      <c r="F30" s="78"/>
      <c r="G30" s="78"/>
      <c r="H30" s="78"/>
      <c r="I30" s="78"/>
      <c r="J30" s="78"/>
      <c r="K30" s="78"/>
      <c r="L30" s="78"/>
      <c r="M30" s="78"/>
      <c r="N30" s="78"/>
      <c r="O30" s="43"/>
      <c r="P30" s="43"/>
      <c r="Q30" s="43"/>
      <c r="R30" s="43"/>
    </row>
    <row r="31" spans="1:18" x14ac:dyDescent="0.2">
      <c r="A31" s="109"/>
      <c r="B31" s="109"/>
      <c r="C31" s="109"/>
      <c r="D31" s="109"/>
      <c r="E31" s="109"/>
      <c r="F31" s="43"/>
      <c r="G31" s="43"/>
      <c r="H31" s="43"/>
      <c r="I31" s="43"/>
      <c r="J31" s="43"/>
      <c r="K31" s="43"/>
      <c r="L31" s="43"/>
      <c r="M31" s="43"/>
      <c r="N31" s="43"/>
      <c r="O31" s="43"/>
      <c r="P31" s="43"/>
      <c r="Q31" s="43"/>
      <c r="R31" s="43"/>
    </row>
    <row r="32" spans="1:18" x14ac:dyDescent="0.2">
      <c r="A32" s="109"/>
      <c r="B32" s="109"/>
      <c r="C32" s="109"/>
      <c r="D32" s="109"/>
      <c r="E32" s="109"/>
      <c r="F32" s="43"/>
      <c r="G32" s="43"/>
      <c r="H32" s="43"/>
      <c r="I32" s="43"/>
      <c r="J32" s="43"/>
      <c r="K32" s="43"/>
      <c r="L32" s="43"/>
      <c r="M32" s="43"/>
      <c r="N32" s="43"/>
      <c r="O32" s="43"/>
      <c r="P32" s="43"/>
      <c r="Q32" s="43"/>
      <c r="R32" s="43"/>
    </row>
    <row r="33" spans="1:18" x14ac:dyDescent="0.2">
      <c r="A33" s="109"/>
      <c r="B33" s="109"/>
      <c r="C33" s="109"/>
      <c r="D33" s="109"/>
      <c r="E33" s="109"/>
      <c r="F33" s="78"/>
      <c r="G33" s="78"/>
      <c r="H33" s="78"/>
      <c r="I33" s="78"/>
      <c r="J33" s="78"/>
      <c r="K33" s="78"/>
      <c r="L33" s="78"/>
      <c r="M33" s="78"/>
      <c r="N33" s="78"/>
      <c r="O33" s="78"/>
      <c r="P33" s="43"/>
      <c r="Q33" s="43"/>
      <c r="R33" s="43"/>
    </row>
    <row r="34" spans="1:18" x14ac:dyDescent="0.2">
      <c r="A34" s="109"/>
      <c r="B34" s="109"/>
      <c r="C34" s="109"/>
      <c r="D34" s="109"/>
      <c r="E34" s="109"/>
      <c r="F34" s="78"/>
      <c r="G34" s="78"/>
      <c r="H34" s="78"/>
      <c r="I34" s="78"/>
      <c r="J34" s="78"/>
      <c r="K34" s="78"/>
      <c r="L34" s="78"/>
      <c r="M34" s="78"/>
      <c r="N34" s="78"/>
      <c r="O34" s="78"/>
      <c r="P34" s="43"/>
      <c r="Q34" s="43"/>
      <c r="R34" s="43"/>
    </row>
    <row r="35" spans="1:18" x14ac:dyDescent="0.2">
      <c r="A35" s="109"/>
      <c r="B35" s="109"/>
      <c r="C35" s="109"/>
      <c r="D35" s="109"/>
      <c r="E35" s="109"/>
      <c r="F35" s="78"/>
      <c r="G35" s="78"/>
      <c r="H35" s="78"/>
      <c r="I35" s="78"/>
      <c r="J35" s="78"/>
      <c r="K35" s="78"/>
      <c r="L35" s="78"/>
      <c r="M35" s="78"/>
      <c r="N35" s="78"/>
      <c r="O35" s="78"/>
      <c r="P35" s="43"/>
      <c r="Q35" s="43"/>
      <c r="R35" s="43"/>
    </row>
    <row r="36" spans="1:18" x14ac:dyDescent="0.2">
      <c r="A36" s="78"/>
      <c r="B36" s="78"/>
      <c r="C36" s="78"/>
      <c r="D36" s="78"/>
      <c r="E36" s="78"/>
      <c r="F36" s="78"/>
      <c r="G36" s="78"/>
      <c r="H36" s="78"/>
      <c r="I36" s="78"/>
      <c r="J36" s="78"/>
      <c r="K36" s="78"/>
      <c r="L36" s="78"/>
      <c r="M36" s="78"/>
      <c r="N36" s="78"/>
      <c r="O36" s="78"/>
      <c r="P36" s="43"/>
      <c r="Q36" s="43"/>
      <c r="R36" s="43"/>
    </row>
    <row r="37" spans="1:18" x14ac:dyDescent="0.2">
      <c r="A37" s="78"/>
      <c r="B37" s="78"/>
      <c r="C37" s="78"/>
      <c r="D37" s="78"/>
      <c r="E37" s="78"/>
      <c r="F37" s="78"/>
      <c r="G37" s="78"/>
      <c r="H37" s="78"/>
      <c r="I37" s="78"/>
      <c r="J37" s="78"/>
      <c r="K37" s="78"/>
      <c r="L37" s="78"/>
      <c r="M37" s="78"/>
      <c r="N37" s="78"/>
      <c r="O37" s="78"/>
      <c r="P37" s="43"/>
      <c r="Q37" s="43"/>
      <c r="R37" s="43"/>
    </row>
    <row r="38" spans="1:18" x14ac:dyDescent="0.2">
      <c r="A38" s="78"/>
      <c r="B38" s="78"/>
      <c r="C38" s="78"/>
      <c r="D38" s="78"/>
      <c r="E38" s="78"/>
      <c r="F38" s="78"/>
      <c r="G38" s="78"/>
      <c r="H38" s="78"/>
      <c r="I38" s="78"/>
      <c r="J38" s="78"/>
      <c r="K38" s="78"/>
      <c r="L38" s="78"/>
      <c r="M38" s="78"/>
      <c r="N38" s="78"/>
      <c r="O38" s="78"/>
      <c r="P38" s="43"/>
      <c r="Q38" s="43"/>
      <c r="R38" s="43"/>
    </row>
    <row r="39" spans="1:18" x14ac:dyDescent="0.2">
      <c r="A39" s="78"/>
      <c r="B39" s="78"/>
      <c r="C39" s="78"/>
      <c r="D39" s="78"/>
      <c r="E39" s="78"/>
      <c r="F39" s="78"/>
      <c r="G39" s="78"/>
      <c r="H39" s="78"/>
      <c r="I39" s="78"/>
      <c r="J39" s="78"/>
      <c r="K39" s="78"/>
      <c r="L39" s="78"/>
      <c r="M39" s="78"/>
      <c r="N39" s="78"/>
      <c r="O39" s="78"/>
      <c r="P39" s="43"/>
      <c r="Q39" s="43"/>
      <c r="R39" s="43"/>
    </row>
    <row r="40" spans="1:18" x14ac:dyDescent="0.2">
      <c r="A40" s="78"/>
      <c r="B40" s="78"/>
      <c r="C40" s="78"/>
      <c r="D40" s="78"/>
      <c r="E40" s="78"/>
      <c r="F40" s="78"/>
      <c r="G40" s="78"/>
      <c r="H40" s="78"/>
      <c r="I40" s="78"/>
      <c r="J40" s="78"/>
      <c r="K40" s="78"/>
      <c r="L40" s="78"/>
      <c r="M40" s="78"/>
      <c r="N40" s="78"/>
      <c r="O40" s="78"/>
      <c r="P40" s="43"/>
      <c r="Q40" s="43"/>
      <c r="R40" s="43"/>
    </row>
    <row r="41" spans="1:18" x14ac:dyDescent="0.2">
      <c r="A41" s="78"/>
      <c r="B41" s="78"/>
      <c r="C41" s="78"/>
      <c r="D41" s="78"/>
      <c r="E41" s="78"/>
      <c r="F41" s="78"/>
      <c r="G41" s="78"/>
      <c r="H41" s="78"/>
      <c r="I41" s="78"/>
      <c r="J41" s="78"/>
      <c r="K41" s="78"/>
      <c r="L41" s="78"/>
      <c r="M41" s="78"/>
      <c r="N41" s="78"/>
      <c r="O41" s="78"/>
      <c r="P41" s="43"/>
      <c r="Q41" s="43"/>
      <c r="R41" s="43"/>
    </row>
    <row r="42" spans="1:18" x14ac:dyDescent="0.2">
      <c r="A42" s="78"/>
      <c r="B42" s="78"/>
      <c r="C42" s="78"/>
      <c r="D42" s="78"/>
      <c r="E42" s="78"/>
      <c r="F42" s="78"/>
      <c r="G42" s="78"/>
      <c r="H42" s="78"/>
      <c r="I42" s="78"/>
      <c r="J42" s="78"/>
      <c r="K42" s="78"/>
      <c r="L42" s="78"/>
      <c r="M42" s="78"/>
      <c r="N42" s="78"/>
      <c r="O42" s="78"/>
      <c r="P42" s="43"/>
      <c r="Q42" s="43"/>
      <c r="R42" s="43"/>
    </row>
    <row r="43" spans="1:18" x14ac:dyDescent="0.2">
      <c r="A43" s="78"/>
      <c r="B43" s="78"/>
      <c r="C43" s="78"/>
      <c r="D43" s="78"/>
      <c r="E43" s="78"/>
      <c r="F43" s="78"/>
      <c r="G43" s="78"/>
      <c r="H43" s="78"/>
      <c r="I43" s="78"/>
      <c r="J43" s="78"/>
      <c r="K43" s="78"/>
      <c r="L43" s="78"/>
      <c r="M43" s="78"/>
      <c r="N43" s="78"/>
      <c r="O43" s="78"/>
      <c r="P43" s="43"/>
      <c r="Q43" s="43"/>
      <c r="R43" s="43"/>
    </row>
    <row r="44" spans="1:18" x14ac:dyDescent="0.2">
      <c r="A44" s="78"/>
      <c r="B44" s="78"/>
      <c r="C44" s="78"/>
      <c r="D44" s="78"/>
      <c r="E44" s="78"/>
      <c r="F44" s="78"/>
      <c r="G44" s="78"/>
      <c r="H44" s="78"/>
      <c r="I44" s="78"/>
      <c r="J44" s="78"/>
      <c r="K44" s="78"/>
      <c r="L44" s="78"/>
      <c r="M44" s="78"/>
      <c r="N44" s="78"/>
      <c r="O44" s="78"/>
      <c r="P44" s="43"/>
      <c r="Q44" s="43"/>
      <c r="R44" s="43"/>
    </row>
    <row r="45" spans="1:18" x14ac:dyDescent="0.2">
      <c r="A45" s="78"/>
      <c r="B45" s="78"/>
      <c r="C45" s="78"/>
      <c r="D45" s="78"/>
      <c r="E45" s="78"/>
      <c r="F45" s="78"/>
      <c r="G45" s="78"/>
      <c r="H45" s="78"/>
      <c r="I45" s="78"/>
      <c r="J45" s="78"/>
      <c r="K45" s="78"/>
      <c r="L45" s="78"/>
      <c r="M45" s="78"/>
      <c r="N45" s="78"/>
      <c r="O45" s="78"/>
      <c r="P45" s="43"/>
      <c r="Q45" s="43"/>
      <c r="R45" s="43"/>
    </row>
    <row r="46" spans="1:18" x14ac:dyDescent="0.2">
      <c r="A46" s="78"/>
      <c r="B46" s="78"/>
      <c r="C46" s="78"/>
      <c r="D46" s="78"/>
      <c r="E46" s="78"/>
      <c r="F46" s="78"/>
      <c r="G46" s="78"/>
      <c r="H46" s="78"/>
      <c r="I46" s="78"/>
      <c r="J46" s="78"/>
      <c r="K46" s="78"/>
      <c r="L46" s="78"/>
      <c r="M46" s="78"/>
      <c r="N46" s="78"/>
      <c r="O46" s="78"/>
      <c r="P46" s="43"/>
      <c r="Q46" s="43"/>
      <c r="R46" s="43"/>
    </row>
    <row r="47" spans="1:18" x14ac:dyDescent="0.2">
      <c r="A47" s="78"/>
      <c r="B47" s="78"/>
      <c r="C47" s="78"/>
      <c r="D47" s="78"/>
      <c r="E47" s="78"/>
      <c r="F47" s="78"/>
      <c r="G47" s="78"/>
      <c r="H47" s="78"/>
      <c r="I47" s="78"/>
      <c r="J47" s="78"/>
      <c r="K47" s="78"/>
      <c r="L47" s="78"/>
      <c r="M47" s="78"/>
      <c r="N47" s="78"/>
      <c r="O47" s="78"/>
      <c r="P47" s="43"/>
      <c r="Q47" s="43"/>
      <c r="R47" s="43"/>
    </row>
    <row r="48" spans="1:18" x14ac:dyDescent="0.2">
      <c r="A48" s="78"/>
      <c r="B48" s="78"/>
      <c r="C48" s="78"/>
      <c r="D48" s="78"/>
      <c r="E48" s="78"/>
      <c r="F48" s="78"/>
      <c r="G48" s="78"/>
      <c r="H48" s="78"/>
      <c r="I48" s="78"/>
      <c r="J48" s="78"/>
      <c r="K48" s="78"/>
      <c r="L48" s="78"/>
      <c r="M48" s="78"/>
      <c r="N48" s="78"/>
      <c r="O48" s="78"/>
      <c r="P48" s="43"/>
      <c r="Q48" s="43"/>
      <c r="R48" s="43"/>
    </row>
    <row r="49" spans="1:18" x14ac:dyDescent="0.2">
      <c r="A49" s="78"/>
      <c r="B49" s="78"/>
      <c r="C49" s="78"/>
      <c r="D49" s="78"/>
      <c r="E49" s="78"/>
      <c r="F49" s="78"/>
      <c r="G49" s="78"/>
      <c r="H49" s="78"/>
      <c r="I49" s="78"/>
      <c r="J49" s="78"/>
      <c r="K49" s="78"/>
      <c r="L49" s="78"/>
      <c r="M49" s="78"/>
      <c r="N49" s="78"/>
      <c r="O49" s="78"/>
      <c r="P49" s="43"/>
      <c r="Q49" s="43"/>
      <c r="R49" s="43"/>
    </row>
    <row r="50" spans="1:18" x14ac:dyDescent="0.2">
      <c r="A50" s="78"/>
      <c r="B50" s="78"/>
      <c r="C50" s="78"/>
      <c r="D50" s="78"/>
      <c r="E50" s="78"/>
      <c r="F50" s="78"/>
      <c r="G50" s="78"/>
      <c r="H50" s="78"/>
      <c r="I50" s="78"/>
      <c r="J50" s="78"/>
      <c r="K50" s="78"/>
      <c r="L50" s="78"/>
      <c r="M50" s="78"/>
      <c r="N50" s="78"/>
      <c r="O50" s="78"/>
      <c r="P50" s="43"/>
      <c r="Q50" s="43"/>
      <c r="R50" s="43"/>
    </row>
    <row r="51" spans="1:18" x14ac:dyDescent="0.2">
      <c r="A51" s="78"/>
      <c r="B51" s="78"/>
      <c r="C51" s="78"/>
      <c r="D51" s="78"/>
      <c r="E51" s="78"/>
      <c r="F51" s="78"/>
      <c r="G51" s="78"/>
      <c r="H51" s="78"/>
      <c r="I51" s="78"/>
      <c r="J51" s="78"/>
      <c r="K51" s="78"/>
      <c r="L51" s="78"/>
      <c r="M51" s="78"/>
      <c r="N51" s="78"/>
      <c r="O51" s="78"/>
      <c r="P51" s="43"/>
      <c r="Q51" s="43"/>
      <c r="R51" s="43"/>
    </row>
    <row r="52" spans="1:18" x14ac:dyDescent="0.2">
      <c r="A52" s="78"/>
      <c r="B52" s="78"/>
      <c r="C52" s="78"/>
      <c r="D52" s="78"/>
      <c r="E52" s="78"/>
      <c r="F52" s="78"/>
      <c r="G52" s="78"/>
      <c r="H52" s="78"/>
      <c r="I52" s="78"/>
      <c r="J52" s="78"/>
      <c r="K52" s="78"/>
      <c r="L52" s="78"/>
      <c r="M52" s="78"/>
      <c r="N52" s="78"/>
      <c r="O52" s="78"/>
      <c r="P52" s="43"/>
      <c r="Q52" s="43"/>
      <c r="R52" s="43"/>
    </row>
    <row r="53" spans="1:18" x14ac:dyDescent="0.2">
      <c r="A53" s="78"/>
      <c r="B53" s="78"/>
      <c r="C53" s="78"/>
      <c r="D53" s="78"/>
      <c r="E53" s="78"/>
      <c r="F53" s="78"/>
      <c r="G53" s="78"/>
      <c r="H53" s="78"/>
      <c r="I53" s="78"/>
      <c r="J53" s="78"/>
      <c r="K53" s="78"/>
      <c r="L53" s="78"/>
      <c r="M53" s="78"/>
      <c r="N53" s="78"/>
      <c r="O53" s="78"/>
      <c r="P53" s="43"/>
      <c r="Q53" s="43"/>
      <c r="R53" s="43"/>
    </row>
    <row r="54" spans="1:18" x14ac:dyDescent="0.2">
      <c r="A54" s="78"/>
      <c r="B54" s="78"/>
      <c r="C54" s="78"/>
      <c r="D54" s="78"/>
      <c r="E54" s="78"/>
      <c r="F54" s="78"/>
      <c r="G54" s="78"/>
      <c r="H54" s="78"/>
      <c r="I54" s="78"/>
      <c r="J54" s="78"/>
      <c r="K54" s="78"/>
      <c r="L54" s="78"/>
      <c r="M54" s="78"/>
      <c r="N54" s="78"/>
      <c r="O54" s="78"/>
      <c r="P54" s="43"/>
      <c r="Q54" s="43"/>
      <c r="R54" s="43"/>
    </row>
    <row r="55" spans="1:18" x14ac:dyDescent="0.2">
      <c r="A55" s="78"/>
      <c r="B55" s="78"/>
      <c r="C55" s="78"/>
      <c r="D55" s="78"/>
      <c r="E55" s="78"/>
      <c r="F55" s="78"/>
      <c r="G55" s="78"/>
      <c r="H55" s="78"/>
      <c r="I55" s="78"/>
      <c r="J55" s="78"/>
      <c r="K55" s="78"/>
      <c r="L55" s="78"/>
      <c r="M55" s="78"/>
      <c r="N55" s="78"/>
      <c r="O55" s="78"/>
      <c r="P55" s="43"/>
      <c r="Q55" s="43"/>
      <c r="R55" s="43"/>
    </row>
    <row r="56" spans="1:18" x14ac:dyDescent="0.2">
      <c r="A56" s="78"/>
      <c r="B56" s="78"/>
      <c r="C56" s="78"/>
      <c r="D56" s="78"/>
      <c r="E56" s="78"/>
      <c r="F56" s="78"/>
      <c r="G56" s="78"/>
      <c r="H56" s="78"/>
      <c r="I56" s="78"/>
      <c r="J56" s="78"/>
      <c r="K56" s="78"/>
      <c r="L56" s="78"/>
      <c r="M56" s="78"/>
      <c r="N56" s="78"/>
      <c r="O56" s="78"/>
      <c r="P56" s="43"/>
      <c r="Q56" s="43"/>
      <c r="R56" s="43"/>
    </row>
    <row r="57" spans="1:18" x14ac:dyDescent="0.2">
      <c r="A57" s="78"/>
      <c r="B57" s="78"/>
      <c r="C57" s="78"/>
      <c r="D57" s="78"/>
      <c r="E57" s="78"/>
      <c r="F57" s="78"/>
      <c r="G57" s="78"/>
      <c r="H57" s="78"/>
      <c r="I57" s="78"/>
      <c r="J57" s="78"/>
      <c r="K57" s="78"/>
      <c r="L57" s="78"/>
      <c r="M57" s="78"/>
      <c r="N57" s="78"/>
      <c r="O57" s="78"/>
      <c r="P57" s="43"/>
      <c r="Q57" s="43"/>
      <c r="R57" s="43"/>
    </row>
    <row r="58" spans="1:18" x14ac:dyDescent="0.2">
      <c r="A58" s="78"/>
      <c r="B58" s="78"/>
      <c r="C58" s="78"/>
      <c r="D58" s="78"/>
      <c r="E58" s="78"/>
      <c r="F58" s="78"/>
      <c r="G58" s="78"/>
      <c r="H58" s="78"/>
      <c r="I58" s="78"/>
      <c r="J58" s="78"/>
      <c r="K58" s="78"/>
      <c r="L58" s="78"/>
      <c r="M58" s="78"/>
      <c r="N58" s="78"/>
      <c r="O58" s="78"/>
      <c r="P58" s="43"/>
      <c r="Q58" s="43"/>
      <c r="R58" s="43"/>
    </row>
    <row r="59" spans="1:18" x14ac:dyDescent="0.2">
      <c r="A59" s="78"/>
      <c r="B59" s="78"/>
      <c r="C59" s="78"/>
      <c r="D59" s="78"/>
      <c r="E59" s="78"/>
      <c r="F59" s="78"/>
      <c r="G59" s="78"/>
      <c r="H59" s="78"/>
      <c r="I59" s="78"/>
      <c r="J59" s="78"/>
      <c r="K59" s="78"/>
      <c r="L59" s="78"/>
      <c r="M59" s="78"/>
      <c r="N59" s="78"/>
      <c r="O59" s="78"/>
      <c r="P59" s="43"/>
      <c r="Q59" s="43"/>
      <c r="R59" s="43"/>
    </row>
    <row r="60" spans="1:18" x14ac:dyDescent="0.2">
      <c r="A60" s="78"/>
      <c r="B60" s="78"/>
      <c r="C60" s="78"/>
      <c r="D60" s="78"/>
      <c r="E60" s="78"/>
      <c r="F60" s="78"/>
      <c r="G60" s="78"/>
      <c r="H60" s="78"/>
      <c r="I60" s="78"/>
      <c r="J60" s="78"/>
      <c r="K60" s="78"/>
      <c r="L60" s="78"/>
      <c r="M60" s="78"/>
      <c r="N60" s="78"/>
      <c r="O60" s="78"/>
      <c r="P60" s="43"/>
      <c r="Q60" s="43"/>
      <c r="R60" s="43"/>
    </row>
    <row r="61" spans="1:18" x14ac:dyDescent="0.2">
      <c r="A61" s="78"/>
      <c r="B61" s="78"/>
      <c r="C61" s="78"/>
      <c r="D61" s="78"/>
      <c r="E61" s="78"/>
      <c r="F61" s="78"/>
      <c r="G61" s="78"/>
      <c r="H61" s="78"/>
      <c r="I61" s="78"/>
      <c r="J61" s="78"/>
      <c r="K61" s="78"/>
      <c r="L61" s="78"/>
      <c r="M61" s="78"/>
      <c r="N61" s="78"/>
      <c r="O61" s="78"/>
      <c r="P61" s="43"/>
      <c r="Q61" s="43"/>
      <c r="R61" s="43"/>
    </row>
    <row r="62" spans="1:18" x14ac:dyDescent="0.2">
      <c r="O62" s="43"/>
      <c r="P62" s="43"/>
    </row>
    <row r="63" spans="1:18" x14ac:dyDescent="0.2">
      <c r="O63" s="43"/>
      <c r="P63" s="43"/>
    </row>
    <row r="64" spans="1:18" x14ac:dyDescent="0.2">
      <c r="O64" s="43"/>
      <c r="P64" s="43"/>
    </row>
    <row r="65" spans="15:16" x14ac:dyDescent="0.2">
      <c r="O65" s="43"/>
      <c r="P65" s="43"/>
    </row>
    <row r="66" spans="15:16" x14ac:dyDescent="0.2">
      <c r="O66" s="43"/>
      <c r="P66" s="43"/>
    </row>
    <row r="67" spans="15:16" x14ac:dyDescent="0.2">
      <c r="O67" s="43"/>
      <c r="P67" s="43"/>
    </row>
    <row r="68" spans="15:16" x14ac:dyDescent="0.2">
      <c r="O68" s="43"/>
      <c r="P68" s="43"/>
    </row>
    <row r="69" spans="15:16" x14ac:dyDescent="0.2">
      <c r="O69" s="43"/>
      <c r="P69" s="43"/>
    </row>
    <row r="70" spans="15:16" x14ac:dyDescent="0.2">
      <c r="O70" s="43"/>
      <c r="P70" s="43"/>
    </row>
    <row r="71" spans="15:16" x14ac:dyDescent="0.2">
      <c r="O71" s="43"/>
      <c r="P71" s="43"/>
    </row>
    <row r="72" spans="15:16" x14ac:dyDescent="0.2">
      <c r="O72" s="43"/>
      <c r="P72" s="43"/>
    </row>
    <row r="73" spans="15:16" x14ac:dyDescent="0.2">
      <c r="O73" s="43"/>
      <c r="P73" s="43"/>
    </row>
    <row r="74" spans="15:16" x14ac:dyDescent="0.2">
      <c r="O74" s="43"/>
      <c r="P74" s="43"/>
    </row>
    <row r="75" spans="15:16" x14ac:dyDescent="0.2">
      <c r="O75" s="43"/>
      <c r="P75" s="43"/>
    </row>
    <row r="76" spans="15:16" x14ac:dyDescent="0.2">
      <c r="O76" s="43"/>
      <c r="P76" s="43"/>
    </row>
    <row r="77" spans="15:16" x14ac:dyDescent="0.2">
      <c r="O77" s="43"/>
      <c r="P77" s="43"/>
    </row>
    <row r="78" spans="15:16" x14ac:dyDescent="0.2">
      <c r="O78" s="43"/>
      <c r="P78" s="43"/>
    </row>
    <row r="79" spans="15:16" x14ac:dyDescent="0.2">
      <c r="O79" s="43"/>
      <c r="P79" s="43"/>
    </row>
    <row r="80" spans="15:16" x14ac:dyDescent="0.2">
      <c r="O80" s="43"/>
      <c r="P80" s="43"/>
    </row>
    <row r="81" spans="15:16" x14ac:dyDescent="0.2">
      <c r="O81" s="43"/>
      <c r="P81" s="43"/>
    </row>
    <row r="82" spans="15:16" x14ac:dyDescent="0.2">
      <c r="O82" s="43"/>
      <c r="P82" s="43"/>
    </row>
    <row r="83" spans="15:16" x14ac:dyDescent="0.2">
      <c r="O83" s="43"/>
      <c r="P83" s="43"/>
    </row>
    <row r="84" spans="15:16" x14ac:dyDescent="0.2">
      <c r="O84" s="43"/>
      <c r="P84" s="43"/>
    </row>
    <row r="85" spans="15:16" x14ac:dyDescent="0.2">
      <c r="O85" s="43"/>
      <c r="P85" s="43"/>
    </row>
    <row r="86" spans="15:16" x14ac:dyDescent="0.2">
      <c r="O86" s="43"/>
      <c r="P86" s="43"/>
    </row>
    <row r="87" spans="15:16" x14ac:dyDescent="0.2">
      <c r="O87" s="43"/>
      <c r="P87" s="43"/>
    </row>
    <row r="88" spans="15:16" x14ac:dyDescent="0.2">
      <c r="O88" s="43"/>
      <c r="P88" s="43"/>
    </row>
    <row r="89" spans="15:16" x14ac:dyDescent="0.2">
      <c r="O89" s="43"/>
      <c r="P89" s="43"/>
    </row>
    <row r="90" spans="15:16" x14ac:dyDescent="0.2">
      <c r="O90" s="43"/>
      <c r="P90" s="43"/>
    </row>
    <row r="91" spans="15:16" x14ac:dyDescent="0.2">
      <c r="O91" s="43"/>
      <c r="P91" s="43"/>
    </row>
    <row r="92" spans="15:16" x14ac:dyDescent="0.2">
      <c r="O92" s="43"/>
      <c r="P92" s="43"/>
    </row>
    <row r="93" spans="15:16" x14ac:dyDescent="0.2">
      <c r="O93" s="43"/>
      <c r="P93" s="43"/>
    </row>
    <row r="94" spans="15:16" x14ac:dyDescent="0.2">
      <c r="O94" s="43"/>
      <c r="P94" s="43"/>
    </row>
    <row r="95" spans="15:16" x14ac:dyDescent="0.2">
      <c r="O95" s="43"/>
      <c r="P95" s="43"/>
    </row>
    <row r="96" spans="15:16" x14ac:dyDescent="0.2">
      <c r="O96" s="43"/>
      <c r="P96" s="43"/>
    </row>
    <row r="97" spans="15:16" x14ac:dyDescent="0.2">
      <c r="O97" s="43"/>
      <c r="P97" s="43"/>
    </row>
    <row r="98" spans="15:16" x14ac:dyDescent="0.2">
      <c r="O98" s="43"/>
      <c r="P98" s="43"/>
    </row>
    <row r="99" spans="15:16" x14ac:dyDescent="0.2">
      <c r="O99" s="43"/>
      <c r="P99" s="43"/>
    </row>
    <row r="100" spans="15:16" x14ac:dyDescent="0.2">
      <c r="O100" s="43"/>
      <c r="P100" s="43"/>
    </row>
    <row r="101" spans="15:16" x14ac:dyDescent="0.2">
      <c r="O101" s="43"/>
      <c r="P101" s="43"/>
    </row>
    <row r="102" spans="15:16" x14ac:dyDescent="0.2">
      <c r="O102" s="43"/>
      <c r="P102" s="43"/>
    </row>
    <row r="103" spans="15:16" x14ac:dyDescent="0.2">
      <c r="O103" s="43"/>
      <c r="P103" s="43"/>
    </row>
    <row r="104" spans="15:16" x14ac:dyDescent="0.2">
      <c r="O104" s="43"/>
      <c r="P104" s="43"/>
    </row>
    <row r="105" spans="15:16" x14ac:dyDescent="0.2">
      <c r="O105" s="43"/>
      <c r="P105" s="43"/>
    </row>
    <row r="106" spans="15:16" x14ac:dyDescent="0.2">
      <c r="O106" s="43"/>
      <c r="P106" s="43"/>
    </row>
    <row r="107" spans="15:16" x14ac:dyDescent="0.2">
      <c r="O107" s="43"/>
      <c r="P107" s="43"/>
    </row>
    <row r="108" spans="15:16" x14ac:dyDescent="0.2">
      <c r="O108" s="43"/>
      <c r="P108" s="43"/>
    </row>
    <row r="109" spans="15:16" x14ac:dyDescent="0.2">
      <c r="O109" s="43"/>
      <c r="P109" s="43"/>
    </row>
    <row r="110" spans="15:16" x14ac:dyDescent="0.2">
      <c r="O110" s="43"/>
      <c r="P110" s="43"/>
    </row>
  </sheetData>
  <mergeCells count="11">
    <mergeCell ref="A22:E32"/>
    <mergeCell ref="N24:O24"/>
    <mergeCell ref="N25:O25"/>
    <mergeCell ref="A33:E35"/>
    <mergeCell ref="A1:XFD2"/>
    <mergeCell ref="N3:O3"/>
    <mergeCell ref="N4:O4"/>
    <mergeCell ref="N13:O13"/>
    <mergeCell ref="N18:O18"/>
    <mergeCell ref="A21:C21"/>
    <mergeCell ref="D21:E21"/>
  </mergeCells>
  <hyperlinks>
    <hyperlink ref="F9" r:id="rId1" display="https://finbox.com/NYSE:CCJ/explorer/revenue_proj" xr:uid="{C801C5B6-3FD4-7642-8476-651DDA6845BD}"/>
  </hyperlinks>
  <pageMargins left="0.7" right="0.7" top="0.75" bottom="0.75" header="0.3" footer="0.3"/>
  <ignoredErrors>
    <ignoredError sqref="F12:J12" formula="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2023-12-09T12:05:36Z</dcterms:modified>
</cp:coreProperties>
</file>