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mc:AlternateContent xmlns:mc="http://schemas.openxmlformats.org/markup-compatibility/2006">
    <mc:Choice Requires="x15">
      <x15ac:absPath xmlns:x15ac="http://schemas.microsoft.com/office/spreadsheetml/2010/11/ac" url="/Users/mac/Documents/financial-modeling/Consumer/"/>
    </mc:Choice>
  </mc:AlternateContent>
  <xr:revisionPtr revIDLastSave="0" documentId="13_ncr:1_{E5B6A14F-B1B8-6B46-A39B-147457DFCF21}"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2" l="1"/>
  <c r="J17" i="2"/>
  <c r="I17" i="2"/>
  <c r="H17" i="2"/>
  <c r="G17" i="2"/>
  <c r="F17" i="2"/>
  <c r="C6" i="2" s="1"/>
  <c r="E17" i="2"/>
  <c r="D17" i="2"/>
  <c r="C17" i="2"/>
  <c r="B17" i="2"/>
  <c r="J14" i="2"/>
  <c r="I14" i="2"/>
  <c r="H14" i="2"/>
  <c r="G14" i="2"/>
  <c r="F14" i="2"/>
  <c r="C5" i="2" s="1"/>
  <c r="E14" i="2"/>
  <c r="D14" i="2"/>
  <c r="C14" i="2"/>
  <c r="B14" i="2"/>
  <c r="K4" i="2" l="1" a="1"/>
  <c r="K4" i="2" s="1"/>
  <c r="O10" i="2"/>
  <c r="O9" i="2"/>
  <c r="O7" i="2"/>
  <c r="G7" i="2"/>
  <c r="E7" i="2"/>
  <c r="O6" i="2"/>
  <c r="O19" i="2" s="1"/>
  <c r="G6" i="2"/>
  <c r="E6" i="2"/>
  <c r="O5" i="2"/>
  <c r="G5" i="2"/>
  <c r="C4" i="2"/>
  <c r="A4" i="2"/>
  <c r="C3" i="2"/>
  <c r="A22" i="2" a="1"/>
  <c r="A22" i="2" s="1"/>
  <c r="D21" i="2" a="1"/>
  <c r="D21" i="2" s="1"/>
  <c r="A21" i="2" a="1"/>
  <c r="A21" i="2" s="1"/>
  <c r="O15" i="2" a="1"/>
  <c r="O15" i="2" s="1"/>
  <c r="J16" i="2"/>
  <c r="I16" i="2"/>
  <c r="H16" i="2"/>
  <c r="G16" i="2"/>
  <c r="F16" i="2"/>
  <c r="E16" i="2"/>
  <c r="D16" i="2"/>
  <c r="C16" i="2"/>
  <c r="J13" i="2"/>
  <c r="I13" i="2"/>
  <c r="H13" i="2"/>
  <c r="G13" i="2"/>
  <c r="F13" i="2"/>
  <c r="E13" i="2"/>
  <c r="D13" i="2"/>
  <c r="C13" i="2"/>
  <c r="J11" i="2"/>
  <c r="I11" i="2"/>
  <c r="H11" i="2"/>
  <c r="G11" i="2"/>
  <c r="F11" i="2"/>
  <c r="E11" i="2"/>
  <c r="D11" i="2"/>
  <c r="C11" i="2"/>
  <c r="O11" i="2"/>
  <c r="K5" i="2" a="1"/>
  <c r="K5" i="2" s="1"/>
  <c r="A5" i="2" a="1"/>
  <c r="A5" i="2" s="1"/>
  <c r="A3" i="2" a="1"/>
  <c r="A3" i="2" s="1"/>
  <c r="K3" i="2" s="1"/>
  <c r="J190" i="1"/>
  <c r="I190" i="1"/>
  <c r="H190" i="1"/>
  <c r="G190" i="1"/>
  <c r="F190" i="1"/>
  <c r="E190" i="1"/>
  <c r="D190" i="1"/>
  <c r="C190" i="1"/>
  <c r="B190" i="1"/>
  <c r="J189" i="1"/>
  <c r="I189" i="1"/>
  <c r="H189" i="1"/>
  <c r="F189" i="1"/>
  <c r="E189" i="1"/>
  <c r="D189" i="1"/>
  <c r="C189" i="1"/>
  <c r="J143" i="1"/>
  <c r="I143" i="1"/>
  <c r="H143" i="1"/>
  <c r="G143" i="1"/>
  <c r="F143" i="1"/>
  <c r="E143" i="1"/>
  <c r="D143" i="1"/>
  <c r="C143" i="1"/>
  <c r="B143" i="1"/>
  <c r="J129" i="1"/>
  <c r="I129" i="1"/>
  <c r="H129" i="1"/>
  <c r="G129" i="1"/>
  <c r="F129" i="1"/>
  <c r="E129" i="1"/>
  <c r="D129" i="1"/>
  <c r="C129" i="1"/>
  <c r="J36" i="1"/>
  <c r="I36" i="1"/>
  <c r="H36" i="1"/>
  <c r="G36" i="1"/>
  <c r="F36" i="1"/>
  <c r="E36" i="1"/>
  <c r="D36" i="1"/>
  <c r="C36" i="1"/>
  <c r="B36" i="1"/>
  <c r="J35" i="1"/>
  <c r="I35" i="1"/>
  <c r="H35" i="1"/>
  <c r="F35" i="1"/>
  <c r="E35" i="1"/>
  <c r="D35" i="1"/>
  <c r="C35" i="1"/>
  <c r="J18" i="1"/>
  <c r="I18" i="1"/>
  <c r="H18" i="1"/>
  <c r="F18" i="1"/>
  <c r="E18" i="1"/>
  <c r="D18" i="1"/>
  <c r="C18" i="1"/>
  <c r="J14" i="1"/>
  <c r="I14" i="1"/>
  <c r="H14" i="1"/>
  <c r="G14" i="1"/>
  <c r="F14" i="1"/>
  <c r="E14" i="1"/>
  <c r="D14" i="1"/>
  <c r="C14" i="1"/>
  <c r="B14" i="1"/>
  <c r="J12" i="1"/>
  <c r="I12" i="1"/>
  <c r="H12" i="1"/>
  <c r="G12" i="1"/>
  <c r="F12" i="1"/>
  <c r="E12" i="1"/>
  <c r="D12" i="1"/>
  <c r="C12" i="1"/>
  <c r="B12" i="1"/>
  <c r="J3" i="1"/>
  <c r="I3" i="1"/>
  <c r="H3" i="1"/>
  <c r="F3" i="1"/>
  <c r="E3" i="1"/>
  <c r="D3" i="1"/>
  <c r="C3" i="1"/>
  <c r="K13" i="2" l="1"/>
  <c r="E5" i="2"/>
  <c r="E3" i="2"/>
  <c r="K11" i="2"/>
  <c r="K16" i="2"/>
  <c r="E4" i="2"/>
  <c r="G4" i="2"/>
  <c r="O20" i="2"/>
  <c r="O21" i="2" s="1"/>
  <c r="O22" i="2" s="1"/>
  <c r="C7" i="2"/>
  <c r="O8" i="2"/>
  <c r="O12" i="2" s="1"/>
  <c r="O23" i="2" l="1"/>
  <c r="A6" i="2"/>
  <c r="A7"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<sst xmlns="http://schemas.openxmlformats.org/spreadsheetml/2006/main" count="795" uniqueCount="243">
  <si>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</si>
  <si>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</si>
  <si>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</si>
  <si>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</si>
  <si>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</si>
  <si>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</si>
  <si>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</si>
  <si>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</si>
  <si>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</si>
  <si>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</si>
  <si>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</si>
  <si>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</si>
  <si>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</si>
  <si>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</si>
  <si>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</si>
  <si>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</si>
  <si>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</si>
  <si>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</si>
  <si>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</si>
  <si>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</si>
  <si>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</si>
  <si>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</si>
  <si>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</si>
  <si>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</si>
  <si>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</si>
  <si>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</si>
  <si>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</si>
  <si>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</si>
  <si>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</si>
  <si>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</si>
  <si>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</si>
  <si>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</si>
  <si>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</si>
  <si>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</si>
  <si>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</si>
  <si>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</si>
  <si>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</si>
  <si>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</si>
  <si>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</si>
  <si>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</si>
  <si>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</si>
  <si>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</si>
  <si>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</si>
  <si>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</si>
  <si>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</si>
  <si>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</si>
  <si>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</si>
  <si>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</si>
  <si>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</si>
  <si>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</si>
  <si>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</si>
  <si>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</si>
  <si>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</si>
  <si>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</si>
  <si>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</si>
  <si>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</si>
  <si>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</si>
  <si>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</si>
  <si>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</si>
  <si>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</si>
  <si>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</si>
  <si>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</si>
  <si>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</si>
  <si>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</si>
  <si>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</si>
  <si>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</si>
  <si>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</si>
  <si>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</si>
  <si>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</si>
  <si>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</si>
  <si>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</si>
  <si>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</si>
  <si>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</si>
  <si>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</si>
  <si>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</si>
  <si>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</si>
  <si>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</si>
  <si>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</si>
  <si>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</si>
  <si>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</si>
  <si>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</si>
  <si>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</si>
  <si>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</si>
  <si>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</si>
  <si>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</si>
  <si>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</si>
  <si>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</si>
  <si>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</si>
  <si>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</si>
  <si>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</si>
  <si>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</si>
  <si>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</si>
  <si>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</si>
  <si>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</si>
  <si>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</si>
  <si>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</si>
  <si>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</si>
  <si>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</si>
  <si>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</si>
  <si>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</si>
  <si>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</si>
  <si>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</si>
  <si>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</si>
  <si>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</si>
  <si>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</si>
  <si>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</si>
  <si>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</si>
  <si>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</si>
  <si>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</si>
  <si>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</si>
  <si>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</si>
  <si>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</si>
  <si>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</si>
  <si>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</si>
  <si>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</si>
  <si>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</si>
  <si>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</si>
  <si>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</si>
  <si>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</si>
  <si>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</si>
  <si>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</si>
  <si>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</si>
  <si>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</si>
  <si>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</si>
  <si>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</si>
  <si>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</si>
  <si>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</si>
  <si>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</si>
  <si>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</si>
  <si>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</si>
  <si>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</si>
  <si>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</si>
  <si>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</si>
  <si>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</si>
  <si>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</si>
  <si>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</si>
  <si>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</si>
  <si>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</si>
  <si>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</si>
  <si>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</si>
  <si>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</si>
  <si>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</si>
  <si>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</si>
  <si>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</si>
  <si>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</si>
  <si>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</si>
  <si>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</si>
  <si>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</si>
  <si>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</si>
  <si>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</si>
  <si>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</si>
  <si>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</si>
  <si>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</si>
  <si>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</si>
  <si>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</si>
  <si>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</si>
  <si>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</si>
  <si>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</si>
  <si>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</si>
  <si>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</si>
  <si>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</si>
  <si>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</si>
  <si>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</si>
  <si>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</si>
  <si>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</si>
  <si>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</si>
  <si>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</si>
  <si>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</si>
  <si>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</si>
  <si>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</si>
  <si>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</si>
  <si>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</si>
  <si>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</si>
  <si>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</si>
  <si>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</si>
  <si>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</si>
  <si>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</si>
  <si>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</si>
  <si>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</si>
  <si>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</si>
  <si>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</si>
  <si>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</si>
  <si>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</si>
  <si>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</si>
  <si>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</si>
  <si>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</si>
  <si>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</si>
  <si>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</si>
  <si>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</si>
  <si>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</si>
  <si>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</si>
  <si>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</si>
  <si>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</si>
  <si>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</si>
  <si>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</si>
  <si>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</si>
  <si>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</si>
  <si>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</si>
  <si>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</si>
  <si>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</si>
  <si>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</si>
  <si>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</si>
  <si>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</si>
  <si>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</si>
  <si>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</si>
  <si>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</si>
  <si>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</si>
  <si>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</si>
  <si>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</si>
  <si>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</si>
  <si>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</si>
  <si>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</si>
  <si>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</si>
  <si>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</si>
  <si>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</si>
  <si>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</si>
  <si>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</si>
  <si>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</si>
  <si>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</si>
  <si>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</si>
  <si>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</si>
  <si>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</si>
  <si>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</si>
  <si>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</si>
  <si>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</si>
  <si>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</si>
  <si>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</si>
  <si>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</si>
  <si>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</si>
  <si>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</si>
  <si>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</si>
  <si>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</si>
  <si>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</si>
  <si>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</si>
  <si>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</si>
  <si>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</si>
  <si>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</si>
  <si>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</si>
  <si>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</si>
  <si>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</si>
  <si>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</si>
  <si>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Daily Change (%)</t>
  </si>
  <si>
    <t>Profit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</si>
</sst>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1">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2" borderId="1" xfId="0" applyFont="1" applyFill="1" applyBorder="1"/>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9" fontId="4" fillId="12" borderId="1" xfId="1" applyFont="1" applyFill="1" applyBorder="1" applyAlignment="1">
      <alignment horizontal="left" indent="1"/>
    </xf>
    <xf numFmtId="0" fontId="1" fillId="12" borderId="1" xfId="0" applyFont="1" applyFill="1" applyBorder="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2" fillId="11" borderId="6" xfId="0" applyFont="1" applyFill="1" applyBorder="1" applyAlignment="1">
      <alignment horizontal="left" vertical="center" indent="2"/>
    </xf>
    <xf numFmtId="10" fontId="12" fillId="11" borderId="7" xfId="1" applyNumberFormat="1" applyFont="1" applyFill="1" applyBorder="1" applyAlignment="1">
      <alignment horizontal="right" vertical="center" indent="1"/>
    </xf>
    <xf numFmtId="10" fontId="12" fillId="11" borderId="6" xfId="1" applyNumberFormat="1" applyFont="1" applyFill="1" applyBorder="1" applyAlignment="1">
      <alignment horizontal="right" vertical="center" indent="1"/>
    </xf>
    <xf numFmtId="10" fontId="12"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13" fillId="9" borderId="10" xfId="0" applyFont="1" applyFill="1" applyBorder="1" applyAlignment="1">
      <alignment horizontal="right" vertical="center" indent="1"/>
    </xf>
    <xf numFmtId="0" fontId="13" fillId="9" borderId="11" xfId="0" applyFont="1" applyFill="1" applyBorder="1" applyAlignment="1">
      <alignment horizontal="right" vertical="center" indent="1"/>
    </xf>
    <xf numFmtId="0" fontId="20" fillId="14" borderId="1"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1" fillId="14" borderId="12" xfId="0" applyFont="1" applyFill="1" applyBorder="1" applyAlignment="1">
      <alignment horizontal="right" vertical="center" indent="1"/>
    </xf>
    <xf numFmtId="9" fontId="13"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2" fillId="10" borderId="13" xfId="0" applyNumberFormat="1" applyFont="1" applyFill="1" applyBorder="1" applyAlignment="1">
      <alignment horizontal="right" vertical="center"/>
    </xf>
    <xf numFmtId="9" fontId="22"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2" fillId="10" borderId="8" xfId="0" applyNumberFormat="1" applyFont="1" applyFill="1" applyBorder="1" applyAlignment="1">
      <alignment horizontal="right" vertical="center"/>
    </xf>
    <xf numFmtId="0" fontId="23" fillId="11" borderId="5" xfId="0" applyFont="1" applyFill="1" applyBorder="1" applyAlignment="1">
      <alignment horizontal="left" vertical="center" indent="1"/>
    </xf>
    <xf numFmtId="9" fontId="13"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2"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2"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2"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2"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12"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2" fillId="10" borderId="23" xfId="1" applyNumberFormat="1" applyFont="1" applyFill="1" applyBorder="1" applyAlignment="1">
      <alignment horizontal="left" vertical="center" indent="1"/>
    </xf>
    <xf numFmtId="9" fontId="25"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2"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6"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2"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2"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7"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6" fillId="10" borderId="27" xfId="1" applyFont="1" applyFill="1" applyBorder="1" applyAlignment="1">
      <alignment horizontal="left" vertical="center" indent="1"/>
    </xf>
    <xf numFmtId="0" fontId="14" fillId="11" borderId="5" xfId="0" applyFont="1" applyFill="1" applyBorder="1" applyAlignment="1">
      <alignment horizontal="left" vertical="center" wrapText="1"/>
    </xf>
    <xf numFmtId="164" fontId="15" fillId="11" borderId="12" xfId="0" applyNumberFormat="1" applyFont="1" applyFill="1" applyBorder="1" applyAlignment="1">
      <alignment vertical="center"/>
    </xf>
    <xf numFmtId="0" fontId="18" fillId="11" borderId="5" xfId="0" applyFont="1" applyFill="1" applyBorder="1" applyAlignment="1">
      <alignment horizontal="left" vertical="center" wrapText="1"/>
    </xf>
    <xf numFmtId="10" fontId="19" fillId="11" borderId="12" xfId="0" applyNumberFormat="1" applyFont="1" applyFill="1" applyBorder="1" applyAlignment="1">
      <alignment vertical="center"/>
    </xf>
    <xf numFmtId="10" fontId="15" fillId="11" borderId="12" xfId="0" applyNumberFormat="1" applyFont="1" applyFill="1" applyBorder="1" applyAlignment="1">
      <alignment vertical="center"/>
    </xf>
    <xf numFmtId="2" fontId="15" fillId="11" borderId="12" xfId="0" applyNumberFormat="1" applyFont="1" applyFill="1" applyBorder="1" applyAlignment="1">
      <alignment vertical="center"/>
    </xf>
    <xf numFmtId="0" fontId="18" fillId="11" borderId="14" xfId="0" applyFont="1" applyFill="1" applyBorder="1" applyAlignment="1">
      <alignment horizontal="left" vertical="center" wrapText="1"/>
    </xf>
    <xf numFmtId="10" fontId="19" fillId="11" borderId="16" xfId="0" applyNumberFormat="1" applyFont="1" applyFill="1" applyBorder="1" applyAlignment="1">
      <alignment vertical="center"/>
    </xf>
    <xf numFmtId="164" fontId="15" fillId="11" borderId="12" xfId="0" applyNumberFormat="1" applyFont="1" applyFill="1" applyBorder="1" applyAlignment="1">
      <alignment horizontal="right" vertical="center"/>
    </xf>
    <xf numFmtId="10" fontId="19" fillId="11" borderId="12" xfId="0" applyNumberFormat="1" applyFont="1" applyFill="1" applyBorder="1" applyAlignment="1">
      <alignment horizontal="right" vertical="center"/>
    </xf>
    <xf numFmtId="10" fontId="19" fillId="11" borderId="16" xfId="0" applyNumberFormat="1" applyFont="1" applyFill="1" applyBorder="1" applyAlignment="1">
      <alignment horizontal="right" vertical="center"/>
    </xf>
    <xf numFmtId="0" fontId="12" fillId="12" borderId="1" xfId="0" applyFont="1" applyFill="1" applyBorder="1" applyAlignment="1">
      <alignment vertical="center" wrapText="1"/>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13" fillId="9" borderId="14" xfId="1" applyNumberFormat="1" applyFont="1" applyFill="1" applyBorder="1" applyAlignment="1">
      <alignment horizontal="center" vertical="center"/>
    </xf>
    <xf numFmtId="10" fontId="13" fillId="9" borderId="16" xfId="1" applyNumberFormat="1" applyFont="1" applyFill="1" applyBorder="1" applyAlignment="1">
      <alignment horizontal="center" vertical="center"/>
    </xf>
    <xf numFmtId="0" fontId="24" fillId="0" borderId="1" xfId="0" applyFont="1" applyBorder="1" applyAlignment="1">
      <alignment horizontal="left" vertical="center" indent="2"/>
    </xf>
    <xf numFmtId="0" fontId="24" fillId="0" borderId="0" xfId="0" applyFont="1" applyAlignment="1">
      <alignment horizontal="left" vertical="center" indent="2"/>
    </xf>
    <xf numFmtId="9" fontId="13" fillId="11" borderId="6" xfId="1" applyFont="1" applyFill="1" applyBorder="1" applyAlignment="1">
      <alignment horizontal="center" vertical="center"/>
    </xf>
    <xf numFmtId="9" fontId="13"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4" fillId="12" borderId="1" xfId="0" applyFont="1" applyFill="1" applyBorder="1" applyAlignment="1">
      <alignment horizontal="left" vertical="center" wrapText="1" indent="3"/>
    </xf>
    <xf numFmtId="0" fontId="4" fillId="12" borderId="1" xfId="0" applyFont="1" applyFill="1" applyBorder="1" applyAlignment="1">
      <alignment horizontal="left" vertical="center" indent="3"/>
    </xf>
    <xf numFmtId="0" fontId="12" fillId="12" borderId="1" xfId="0" applyFont="1" applyFill="1" applyBorder="1" applyAlignment="1">
      <alignment horizontal="left" vertical="center" wrapText="1"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Basic Materials"/>
      <sheetName val="US Treasury Bonds"/>
      <sheetName val="Fidelity"/>
      <sheetName val="Schwab"/>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https://www.bing.com/financeapi/forcetrigger?t=c38ljc&amp;q=XNYS%3aBROS&amp;form=skydnc</v>
    <v>Learn more on Bing</v>
  </rv>
  <rv s="1">
    <v>0</v>
    <v>Dutch Bros Inc (XNYS:BROS)</v>
    <v>2</v>
    <v>3</v>
    <v>Finance</v>
    <v>4</v>
    <v>en-US</v>
    <v>c38ljc</v>
    <v>268435456</v>
    <v>1</v>
    <v>Powered by Refinitiv</v>
    <v>41.439900000000002</v>
    <v>22.664999999999999</v>
    <v>2.1749999999999998</v>
    <v>0.11</v>
    <v>3.993E-3</v>
    <v>-0.01</v>
    <v>-3.615E-4</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27.83</v>
    <v>Hotels &amp; Entertainment Services</v>
    <v>Stock</v>
    <v>45269.030346620311</v>
    <v>0</v>
    <v>27.14</v>
    <v>4899011964</v>
    <v>Dutch Bros Inc</v>
    <v>Dutch Bros Inc</v>
    <v>27.5</v>
    <v>710.2346</v>
    <v>27.55</v>
    <v>27.66</v>
    <v>27.65</v>
    <v>177115400</v>
    <v>BROS</v>
    <v>Dutch Bros Inc (XNYS:BROS)</v>
    <v>781038</v>
    <v>1513178</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BROS%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BRO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topLeftCell="A110" workbookViewId="0">
      <pane xSplit="1" topLeftCell="B1" activePane="topRight" state="frozen"/>
      <selection pane="topRight" activeCell="G8" sqref="G8"/>
    </sheetView>
  </sheetViews>
  <sheetFormatPr baseColWidth="10" defaultRowHeight="15" x14ac:dyDescent="0.2"/>
  <cols>
    <col min="1" max="1" width="40.83203125" customWidth="1"/>
    <col min="2" max="11" width="14.83203125" customWidth="1"/>
  </cols>
  <sheetData>
    <row r="1" spans="1:10" ht="16" x14ac:dyDescent="0.2">
      <c r="A1" s="1" t="e" vm="1">
        <v>#VALUE!</v>
      </c>
      <c r="B1" s="2" t="s">
        <v>0</v>
      </c>
      <c r="C1" s="2" t="s">
        <v>1</v>
      </c>
      <c r="D1" s="2" t="s">
        <v>2</v>
      </c>
      <c r="E1" s="2" t="s">
        <v>3</v>
      </c>
      <c r="F1" s="2" t="s">
        <v>4</v>
      </c>
      <c r="G1" s="2" t="s">
        <v>5</v>
      </c>
      <c r="H1" s="2" t="s">
        <v>6</v>
      </c>
      <c r="I1" s="2" t="s">
        <v>7</v>
      </c>
      <c r="J1" s="2" t="s">
        <v>8</v>
      </c>
    </row>
    <row r="2" spans="1:10" ht="16" x14ac:dyDescent="0.2">
      <c r="A2" s="28" t="s">
        <v>9</v>
      </c>
      <c r="B2" s="26">
        <v>238368000</v>
      </c>
      <c r="C2" s="26">
        <v>327413000</v>
      </c>
      <c r="D2" s="26">
        <v>497876000</v>
      </c>
      <c r="E2" s="26">
        <v>739012000</v>
      </c>
      <c r="F2" s="27">
        <v>847621000</v>
      </c>
      <c r="G2" s="26">
        <v>198648000</v>
      </c>
      <c r="H2" s="26">
        <v>201827000</v>
      </c>
      <c r="I2" s="26">
        <v>197267000</v>
      </c>
      <c r="J2" s="26">
        <v>249879000</v>
      </c>
    </row>
    <row r="3" spans="1:10" ht="16" x14ac:dyDescent="0.2">
      <c r="A3" s="9" t="s">
        <v>182</v>
      </c>
      <c r="B3" s="10"/>
      <c r="C3" s="11">
        <f t="shared" ref="C3:J3" si="0">(C2/B2)-1</f>
        <v>0.37356104846288085</v>
      </c>
      <c r="D3" s="11">
        <f t="shared" si="0"/>
        <v>0.52063601628524214</v>
      </c>
      <c r="E3" s="11">
        <f t="shared" si="0"/>
        <v>0.4843294314246922</v>
      </c>
      <c r="F3" s="11">
        <f t="shared" si="0"/>
        <v>0.14696513723728444</v>
      </c>
      <c r="G3" s="11"/>
      <c r="H3" s="11">
        <f t="shared" si="0"/>
        <v>1.6003181506987207E-2</v>
      </c>
      <c r="I3" s="11">
        <f t="shared" si="0"/>
        <v>-2.2593607396433568E-2</v>
      </c>
      <c r="J3" s="11">
        <f t="shared" si="0"/>
        <v>0.26670451722791944</v>
      </c>
    </row>
    <row r="4" spans="1:10" ht="16" x14ac:dyDescent="0.2">
      <c r="A4" s="3" t="s">
        <v>10</v>
      </c>
      <c r="B4" s="4">
        <v>238368000</v>
      </c>
      <c r="C4" s="4">
        <v>327413000</v>
      </c>
      <c r="D4" s="4">
        <v>497876000</v>
      </c>
      <c r="E4" s="4">
        <v>739012000</v>
      </c>
      <c r="F4" s="5">
        <v>847621000</v>
      </c>
      <c r="G4" s="4">
        <v>198648000</v>
      </c>
      <c r="H4" s="4">
        <v>201827000</v>
      </c>
      <c r="I4" s="4">
        <v>197267000</v>
      </c>
      <c r="J4" s="4">
        <v>249879000</v>
      </c>
    </row>
    <row r="5" spans="1:10" ht="16" x14ac:dyDescent="0.2">
      <c r="A5" s="3" t="s">
        <v>11</v>
      </c>
      <c r="B5" s="4">
        <v>142307000</v>
      </c>
      <c r="C5" s="4">
        <v>211659000</v>
      </c>
      <c r="D5" s="4">
        <v>346113000</v>
      </c>
      <c r="E5" s="4">
        <v>558096000</v>
      </c>
      <c r="F5" s="5">
        <v>625718000</v>
      </c>
      <c r="G5" s="4">
        <v>148092000</v>
      </c>
      <c r="H5" s="4">
        <v>147467000</v>
      </c>
      <c r="I5" s="4">
        <v>151523000</v>
      </c>
      <c r="J5" s="4">
        <v>178636000</v>
      </c>
    </row>
    <row r="6" spans="1:10" ht="16" x14ac:dyDescent="0.2">
      <c r="A6" s="3" t="s">
        <v>12</v>
      </c>
      <c r="B6" s="4">
        <v>142307000</v>
      </c>
      <c r="C6" s="4">
        <v>211659000</v>
      </c>
      <c r="D6" s="4">
        <v>346113000</v>
      </c>
      <c r="E6" s="4">
        <v>558096000</v>
      </c>
      <c r="F6" s="5">
        <v>625718000</v>
      </c>
      <c r="G6" s="4">
        <v>148092000</v>
      </c>
      <c r="H6" s="4">
        <v>147467000</v>
      </c>
      <c r="I6" s="4">
        <v>151523000</v>
      </c>
      <c r="J6" s="4">
        <v>178636000</v>
      </c>
    </row>
    <row r="7" spans="1:10" ht="16" x14ac:dyDescent="0.2">
      <c r="A7" s="28" t="s">
        <v>13</v>
      </c>
      <c r="B7" s="26">
        <v>96061000</v>
      </c>
      <c r="C7" s="26">
        <v>115754000</v>
      </c>
      <c r="D7" s="26">
        <v>151763000</v>
      </c>
      <c r="E7" s="26">
        <v>180916000</v>
      </c>
      <c r="F7" s="27">
        <v>221903000</v>
      </c>
      <c r="G7" s="26">
        <v>50556000</v>
      </c>
      <c r="H7" s="26">
        <v>54360000</v>
      </c>
      <c r="I7" s="26">
        <v>45744000</v>
      </c>
      <c r="J7" s="26">
        <v>71243000</v>
      </c>
    </row>
    <row r="8" spans="1:10" ht="16" x14ac:dyDescent="0.2">
      <c r="A8" s="31" t="s">
        <v>49</v>
      </c>
      <c r="B8" s="32">
        <v>40.299999999999997</v>
      </c>
      <c r="C8" s="32">
        <v>35.35</v>
      </c>
      <c r="D8" s="32">
        <v>30.48</v>
      </c>
      <c r="E8" s="32">
        <v>24.48</v>
      </c>
      <c r="F8" s="33">
        <v>26.18</v>
      </c>
      <c r="G8" s="32">
        <v>25.45</v>
      </c>
      <c r="H8" s="32">
        <v>26.93</v>
      </c>
      <c r="I8" s="32">
        <v>23.19</v>
      </c>
      <c r="J8" s="32">
        <v>28.51</v>
      </c>
    </row>
    <row r="9" spans="1:10" ht="16" x14ac:dyDescent="0.2">
      <c r="A9" s="3" t="s">
        <v>14</v>
      </c>
      <c r="B9" s="4" t="s">
        <v>15</v>
      </c>
      <c r="C9" s="4" t="s">
        <v>15</v>
      </c>
      <c r="D9" s="4" t="s">
        <v>15</v>
      </c>
      <c r="E9" s="4" t="s">
        <v>15</v>
      </c>
      <c r="F9" s="5" t="s">
        <v>15</v>
      </c>
      <c r="G9" s="4" t="s">
        <v>15</v>
      </c>
      <c r="H9" s="4" t="s">
        <v>15</v>
      </c>
      <c r="I9" s="4" t="s">
        <v>15</v>
      </c>
      <c r="J9" s="4" t="s">
        <v>15</v>
      </c>
    </row>
    <row r="10" spans="1:10" ht="16" x14ac:dyDescent="0.2">
      <c r="A10" s="3" t="s">
        <v>16</v>
      </c>
      <c r="B10" s="4">
        <v>65764000</v>
      </c>
      <c r="C10" s="4">
        <v>105087000</v>
      </c>
      <c r="D10" s="4">
        <v>265035000</v>
      </c>
      <c r="E10" s="4">
        <v>183528000</v>
      </c>
      <c r="F10" s="5">
        <v>193610000</v>
      </c>
      <c r="G10" s="4">
        <v>45378000</v>
      </c>
      <c r="H10" s="4">
        <v>50594000</v>
      </c>
      <c r="I10" s="4">
        <v>45976000</v>
      </c>
      <c r="J10" s="4">
        <v>51662000</v>
      </c>
    </row>
    <row r="11" spans="1:10" ht="16" x14ac:dyDescent="0.2">
      <c r="A11" s="24" t="s">
        <v>17</v>
      </c>
      <c r="B11" s="26">
        <v>65764000</v>
      </c>
      <c r="C11" s="26">
        <v>105087000</v>
      </c>
      <c r="D11" s="26">
        <v>265035000</v>
      </c>
      <c r="E11" s="26">
        <v>183528000</v>
      </c>
      <c r="F11" s="27">
        <v>193610000</v>
      </c>
      <c r="G11" s="26">
        <v>45378000</v>
      </c>
      <c r="H11" s="26">
        <v>50594000</v>
      </c>
      <c r="I11" s="26">
        <v>45976000</v>
      </c>
      <c r="J11" s="26">
        <v>51662000</v>
      </c>
    </row>
    <row r="12" spans="1:10" ht="16" x14ac:dyDescent="0.2">
      <c r="A12" s="12" t="s">
        <v>183</v>
      </c>
      <c r="B12" s="11">
        <f t="shared" ref="B12:J12" si="1">B11/B2</f>
        <v>0.27589273728017183</v>
      </c>
      <c r="C12" s="11">
        <f t="shared" si="1"/>
        <v>0.3209615989591128</v>
      </c>
      <c r="D12" s="11">
        <f t="shared" si="1"/>
        <v>0.53233134354738931</v>
      </c>
      <c r="E12" s="11">
        <f t="shared" si="1"/>
        <v>0.24834238144982762</v>
      </c>
      <c r="F12" s="11">
        <f t="shared" si="1"/>
        <v>0.22841576600862887</v>
      </c>
      <c r="G12" s="11">
        <f t="shared" si="1"/>
        <v>0.22843421529539687</v>
      </c>
      <c r="H12" s="11">
        <f t="shared" si="1"/>
        <v>0.25068003785420184</v>
      </c>
      <c r="I12" s="11">
        <f t="shared" si="1"/>
        <v>0.23306483091444591</v>
      </c>
      <c r="J12" s="11">
        <f t="shared" si="1"/>
        <v>0.20674806606397497</v>
      </c>
    </row>
    <row r="13" spans="1:10" ht="16" x14ac:dyDescent="0.2">
      <c r="A13" s="24" t="s">
        <v>18</v>
      </c>
      <c r="B13" s="26">
        <v>0</v>
      </c>
      <c r="C13" s="26">
        <v>0</v>
      </c>
      <c r="D13" s="26">
        <v>0</v>
      </c>
      <c r="E13" s="26">
        <v>0</v>
      </c>
      <c r="F13" s="27">
        <v>0</v>
      </c>
      <c r="G13" s="26">
        <v>0</v>
      </c>
      <c r="H13" s="26">
        <v>0</v>
      </c>
      <c r="I13" s="26">
        <v>0</v>
      </c>
      <c r="J13" s="26">
        <v>0</v>
      </c>
    </row>
    <row r="14" spans="1:10" ht="16" x14ac:dyDescent="0.2">
      <c r="A14" s="13" t="s">
        <v>184</v>
      </c>
      <c r="B14" s="14">
        <f t="shared" ref="B14:J14" si="2">B13/B2</f>
        <v>0</v>
      </c>
      <c r="C14" s="14">
        <f t="shared" si="2"/>
        <v>0</v>
      </c>
      <c r="D14" s="14">
        <f t="shared" si="2"/>
        <v>0</v>
      </c>
      <c r="E14" s="14">
        <f t="shared" si="2"/>
        <v>0</v>
      </c>
      <c r="F14" s="14">
        <f t="shared" si="2"/>
        <v>0</v>
      </c>
      <c r="G14" s="14">
        <f t="shared" si="2"/>
        <v>0</v>
      </c>
      <c r="H14" s="14">
        <f t="shared" si="2"/>
        <v>0</v>
      </c>
      <c r="I14" s="14">
        <f t="shared" si="2"/>
        <v>0</v>
      </c>
      <c r="J14" s="14">
        <f t="shared" si="2"/>
        <v>0</v>
      </c>
    </row>
    <row r="15" spans="1:10" ht="16" x14ac:dyDescent="0.2">
      <c r="A15" s="3" t="s">
        <v>19</v>
      </c>
      <c r="B15" s="4" t="s">
        <v>15</v>
      </c>
      <c r="C15" s="4" t="s">
        <v>15</v>
      </c>
      <c r="D15" s="4" t="s">
        <v>15</v>
      </c>
      <c r="E15" s="4" t="s">
        <v>15</v>
      </c>
      <c r="F15" s="5" t="s">
        <v>15</v>
      </c>
      <c r="G15" s="4" t="s">
        <v>15</v>
      </c>
      <c r="H15" s="4" t="s">
        <v>15</v>
      </c>
      <c r="I15" s="4" t="s">
        <v>15</v>
      </c>
      <c r="J15" s="4" t="s">
        <v>15</v>
      </c>
    </row>
    <row r="16" spans="1:10" ht="16" x14ac:dyDescent="0.2">
      <c r="A16" s="28" t="s">
        <v>20</v>
      </c>
      <c r="B16" s="26">
        <v>30297000</v>
      </c>
      <c r="C16" s="26">
        <v>10667000</v>
      </c>
      <c r="D16" s="26">
        <v>-113272000</v>
      </c>
      <c r="E16" s="26">
        <v>-2612000</v>
      </c>
      <c r="F16" s="27">
        <v>28293000</v>
      </c>
      <c r="G16" s="26">
        <v>5178000</v>
      </c>
      <c r="H16" s="26">
        <v>3766000</v>
      </c>
      <c r="I16" s="26">
        <v>-232000</v>
      </c>
      <c r="J16" s="26">
        <v>19581000</v>
      </c>
    </row>
    <row r="17" spans="1:10" ht="16" x14ac:dyDescent="0.2">
      <c r="A17" s="24" t="s">
        <v>50</v>
      </c>
      <c r="B17" s="29">
        <v>12.71</v>
      </c>
      <c r="C17" s="29">
        <v>3.26</v>
      </c>
      <c r="D17" s="29">
        <v>-22.75</v>
      </c>
      <c r="E17" s="29">
        <v>-0.35</v>
      </c>
      <c r="F17" s="30">
        <v>3.34</v>
      </c>
      <c r="G17" s="29">
        <v>2.61</v>
      </c>
      <c r="H17" s="29">
        <v>1.87</v>
      </c>
      <c r="I17" s="29">
        <v>-0.12</v>
      </c>
      <c r="J17" s="29">
        <v>7.84</v>
      </c>
    </row>
    <row r="18" spans="1:10" ht="16" x14ac:dyDescent="0.2">
      <c r="A18" s="15" t="s">
        <v>185</v>
      </c>
      <c r="B18" s="10"/>
      <c r="C18" s="11">
        <f>(C16/B16)-1</f>
        <v>-0.64791893586823779</v>
      </c>
      <c r="D18" s="11">
        <f>(D16/C16)-1</f>
        <v>-11.618918158807537</v>
      </c>
      <c r="E18" s="11">
        <f>(E16/D16)-1</f>
        <v>-0.97694046189702666</v>
      </c>
      <c r="F18" s="11">
        <f t="shared" ref="F18:J18" si="3">(F16/E16)-1</f>
        <v>-11.831929555895865</v>
      </c>
      <c r="G18" s="11"/>
      <c r="H18" s="11">
        <f t="shared" si="3"/>
        <v>-0.27269215913480105</v>
      </c>
      <c r="I18" s="11">
        <f t="shared" si="3"/>
        <v>-1.061603823685608</v>
      </c>
      <c r="J18" s="11">
        <f t="shared" si="3"/>
        <v>-85.400862068965523</v>
      </c>
    </row>
    <row r="19" spans="1:10" ht="16" x14ac:dyDescent="0.2">
      <c r="A19" s="3" t="s">
        <v>21</v>
      </c>
      <c r="B19" s="4">
        <v>1822000</v>
      </c>
      <c r="C19" s="4">
        <v>4099000</v>
      </c>
      <c r="D19" s="4">
        <v>8333000</v>
      </c>
      <c r="E19" s="4">
        <v>14042000</v>
      </c>
      <c r="F19" s="5">
        <v>22837000</v>
      </c>
      <c r="G19" s="4">
        <v>6955000</v>
      </c>
      <c r="H19" s="4">
        <v>1284000</v>
      </c>
      <c r="I19" s="4">
        <v>6579000</v>
      </c>
      <c r="J19" s="4">
        <v>8019000</v>
      </c>
    </row>
    <row r="20" spans="1:10" ht="16" x14ac:dyDescent="0.2">
      <c r="A20" s="3" t="s">
        <v>22</v>
      </c>
      <c r="B20" s="4">
        <v>2346000</v>
      </c>
      <c r="C20" s="4">
        <v>3736000</v>
      </c>
      <c r="D20" s="4">
        <v>7093000</v>
      </c>
      <c r="E20" s="4">
        <v>18018000</v>
      </c>
      <c r="F20" s="5">
        <v>28877000</v>
      </c>
      <c r="G20" s="4">
        <v>5011000</v>
      </c>
      <c r="H20" s="4">
        <v>6922000</v>
      </c>
      <c r="I20" s="4">
        <v>7886000</v>
      </c>
      <c r="J20" s="4">
        <v>9058000</v>
      </c>
    </row>
    <row r="21" spans="1:10" ht="16" x14ac:dyDescent="0.2">
      <c r="A21" s="3" t="s">
        <v>23</v>
      </c>
      <c r="B21" s="4">
        <v>2346000</v>
      </c>
      <c r="C21" s="4">
        <v>3736000</v>
      </c>
      <c r="D21" s="4">
        <v>7093000</v>
      </c>
      <c r="E21" s="4">
        <v>18018000</v>
      </c>
      <c r="F21" s="5">
        <v>28877000</v>
      </c>
      <c r="G21" s="4">
        <v>5011000</v>
      </c>
      <c r="H21" s="4">
        <v>6922000</v>
      </c>
      <c r="I21" s="4">
        <v>7886000</v>
      </c>
      <c r="J21" s="4">
        <v>9058000</v>
      </c>
    </row>
    <row r="22" spans="1:10" ht="16" x14ac:dyDescent="0.2">
      <c r="A22" s="3" t="s">
        <v>24</v>
      </c>
      <c r="B22" s="4" t="s">
        <v>15</v>
      </c>
      <c r="C22" s="4" t="s">
        <v>15</v>
      </c>
      <c r="D22" s="4" t="s">
        <v>15</v>
      </c>
      <c r="E22" s="4" t="s">
        <v>15</v>
      </c>
      <c r="F22" s="5" t="s">
        <v>15</v>
      </c>
      <c r="G22" s="4" t="s">
        <v>15</v>
      </c>
      <c r="H22" s="4" t="s">
        <v>15</v>
      </c>
      <c r="I22" s="4" t="s">
        <v>15</v>
      </c>
      <c r="J22" s="4" t="s">
        <v>15</v>
      </c>
    </row>
    <row r="23" spans="1:10" ht="16" x14ac:dyDescent="0.2">
      <c r="A23" s="3" t="s">
        <v>25</v>
      </c>
      <c r="B23" s="4">
        <v>-524000</v>
      </c>
      <c r="C23" s="4">
        <v>363000</v>
      </c>
      <c r="D23" s="4">
        <v>1240000</v>
      </c>
      <c r="E23" s="4">
        <v>-3976000</v>
      </c>
      <c r="F23" s="5">
        <v>-6040000</v>
      </c>
      <c r="G23" s="4">
        <v>1944000</v>
      </c>
      <c r="H23" s="4">
        <v>-5638000</v>
      </c>
      <c r="I23" s="4">
        <v>-1307000</v>
      </c>
      <c r="J23" s="4">
        <v>-1039000</v>
      </c>
    </row>
    <row r="24" spans="1:10" ht="16" x14ac:dyDescent="0.2">
      <c r="A24" s="3" t="s">
        <v>26</v>
      </c>
      <c r="B24" s="4">
        <v>28475000</v>
      </c>
      <c r="C24" s="4">
        <v>6568000</v>
      </c>
      <c r="D24" s="4">
        <v>-121605000</v>
      </c>
      <c r="E24" s="4">
        <v>-16654000</v>
      </c>
      <c r="F24" s="5">
        <v>5456000</v>
      </c>
      <c r="G24" s="4">
        <v>-1777000</v>
      </c>
      <c r="H24" s="4">
        <v>2482000</v>
      </c>
      <c r="I24" s="4">
        <v>-6811000</v>
      </c>
      <c r="J24" s="4">
        <v>11562000</v>
      </c>
    </row>
    <row r="25" spans="1:10" ht="16" x14ac:dyDescent="0.2">
      <c r="A25" s="3" t="s">
        <v>27</v>
      </c>
      <c r="B25" s="4">
        <v>89000</v>
      </c>
      <c r="C25" s="4">
        <v>843000</v>
      </c>
      <c r="D25" s="4">
        <v>-507000</v>
      </c>
      <c r="E25" s="4">
        <v>2599000</v>
      </c>
      <c r="F25" s="5">
        <v>6359000</v>
      </c>
      <c r="G25" s="4">
        <v>-3371000</v>
      </c>
      <c r="H25" s="4">
        <v>5299000</v>
      </c>
      <c r="I25" s="4">
        <v>2580000</v>
      </c>
      <c r="J25" s="4">
        <v>1851000</v>
      </c>
    </row>
    <row r="26" spans="1:10" ht="16" x14ac:dyDescent="0.2">
      <c r="A26" s="3" t="s">
        <v>28</v>
      </c>
      <c r="B26" s="4" t="s">
        <v>15</v>
      </c>
      <c r="C26" s="4" t="s">
        <v>15</v>
      </c>
      <c r="D26" s="4" t="s">
        <v>15</v>
      </c>
      <c r="E26" s="4" t="s">
        <v>15</v>
      </c>
      <c r="F26" s="5" t="s">
        <v>15</v>
      </c>
      <c r="G26" s="4" t="s">
        <v>15</v>
      </c>
      <c r="H26" s="4" t="s">
        <v>15</v>
      </c>
      <c r="I26" s="4" t="s">
        <v>15</v>
      </c>
      <c r="J26" s="4" t="s">
        <v>15</v>
      </c>
    </row>
    <row r="27" spans="1:10" ht="16" x14ac:dyDescent="0.2">
      <c r="A27" s="3" t="s">
        <v>29</v>
      </c>
      <c r="B27" s="4">
        <v>28386000</v>
      </c>
      <c r="C27" s="4">
        <v>5725000</v>
      </c>
      <c r="D27" s="4">
        <v>-121098000</v>
      </c>
      <c r="E27" s="4">
        <v>-19253000</v>
      </c>
      <c r="F27" s="5">
        <v>-903000</v>
      </c>
      <c r="G27" s="4">
        <v>1594000</v>
      </c>
      <c r="H27" s="4">
        <v>-2817000</v>
      </c>
      <c r="I27" s="4">
        <v>-9391000</v>
      </c>
      <c r="J27" s="4">
        <v>9711000</v>
      </c>
    </row>
    <row r="28" spans="1:10" ht="16" x14ac:dyDescent="0.2">
      <c r="A28" s="3" t="s">
        <v>30</v>
      </c>
      <c r="B28" s="4" t="s">
        <v>15</v>
      </c>
      <c r="C28" s="4">
        <v>6058000</v>
      </c>
      <c r="D28" s="4">
        <v>-145524000</v>
      </c>
      <c r="E28" s="4">
        <v>-29000000</v>
      </c>
      <c r="F28" s="5">
        <v>-1826000</v>
      </c>
      <c r="G28" s="4">
        <v>-338000</v>
      </c>
      <c r="H28" s="4">
        <v>-4308000</v>
      </c>
      <c r="I28" s="4">
        <v>-11098000</v>
      </c>
      <c r="J28" s="4">
        <v>13918000</v>
      </c>
    </row>
    <row r="29" spans="1:10" ht="16" x14ac:dyDescent="0.2">
      <c r="A29" s="3" t="s">
        <v>31</v>
      </c>
      <c r="B29" s="4" t="s">
        <v>15</v>
      </c>
      <c r="C29" s="4" t="s">
        <v>15</v>
      </c>
      <c r="D29" s="4" t="s">
        <v>15</v>
      </c>
      <c r="E29" s="4" t="s">
        <v>15</v>
      </c>
      <c r="F29" s="5" t="s">
        <v>15</v>
      </c>
      <c r="G29" s="4" t="s">
        <v>15</v>
      </c>
      <c r="H29" s="4" t="s">
        <v>15</v>
      </c>
      <c r="I29" s="4" t="s">
        <v>15</v>
      </c>
      <c r="J29" s="4" t="s">
        <v>15</v>
      </c>
    </row>
    <row r="30" spans="1:10" ht="16" x14ac:dyDescent="0.2">
      <c r="A30" s="3" t="s">
        <v>32</v>
      </c>
      <c r="B30" s="4" t="s">
        <v>15</v>
      </c>
      <c r="C30" s="4">
        <v>6058000</v>
      </c>
      <c r="D30" s="4">
        <v>-145524000</v>
      </c>
      <c r="E30" s="4">
        <v>-29000000</v>
      </c>
      <c r="F30" s="5">
        <v>-1826000</v>
      </c>
      <c r="G30" s="4">
        <v>-338000</v>
      </c>
      <c r="H30" s="4">
        <v>-4308000</v>
      </c>
      <c r="I30" s="4">
        <v>-11098000</v>
      </c>
      <c r="J30" s="4">
        <v>13918000</v>
      </c>
    </row>
    <row r="31" spans="1:10" ht="16" x14ac:dyDescent="0.2">
      <c r="A31" s="3" t="s">
        <v>33</v>
      </c>
      <c r="B31" s="4">
        <v>28386000</v>
      </c>
      <c r="C31" s="4">
        <v>-333000</v>
      </c>
      <c r="D31" s="4">
        <v>24426000</v>
      </c>
      <c r="E31" s="4">
        <v>9747000</v>
      </c>
      <c r="F31" s="5">
        <v>923000</v>
      </c>
      <c r="G31" s="4">
        <v>1932000</v>
      </c>
      <c r="H31" s="4">
        <v>1491000</v>
      </c>
      <c r="I31" s="4">
        <v>1707000</v>
      </c>
      <c r="J31" s="4">
        <v>-4207000</v>
      </c>
    </row>
    <row r="32" spans="1:10" ht="16" x14ac:dyDescent="0.2">
      <c r="A32" s="3" t="s">
        <v>34</v>
      </c>
      <c r="B32" s="4" t="s">
        <v>15</v>
      </c>
      <c r="C32" s="4">
        <v>-6058000</v>
      </c>
      <c r="D32" s="4">
        <v>38461000</v>
      </c>
      <c r="E32" s="4">
        <v>14500000</v>
      </c>
      <c r="F32" s="5">
        <v>913000</v>
      </c>
      <c r="G32" s="4">
        <v>169000</v>
      </c>
      <c r="H32" s="4">
        <v>2154000</v>
      </c>
      <c r="I32" s="4">
        <v>5549000</v>
      </c>
      <c r="J32" s="4">
        <v>-6959000</v>
      </c>
    </row>
    <row r="33" spans="1:10" ht="16" x14ac:dyDescent="0.2">
      <c r="A33" s="28" t="s">
        <v>35</v>
      </c>
      <c r="B33" s="26">
        <v>28386000</v>
      </c>
      <c r="C33" s="26">
        <v>5725000</v>
      </c>
      <c r="D33" s="26">
        <v>-14035000</v>
      </c>
      <c r="E33" s="26">
        <v>-4753000</v>
      </c>
      <c r="F33" s="27">
        <v>10000</v>
      </c>
      <c r="G33" s="26">
        <v>1763000</v>
      </c>
      <c r="H33" s="26">
        <v>-663000</v>
      </c>
      <c r="I33" s="26">
        <v>-3842000</v>
      </c>
      <c r="J33" s="26">
        <v>2752000</v>
      </c>
    </row>
    <row r="34" spans="1:10" ht="16" x14ac:dyDescent="0.2">
      <c r="A34" s="24" t="s">
        <v>51</v>
      </c>
      <c r="B34" s="29">
        <v>11.91</v>
      </c>
      <c r="C34" s="29">
        <v>1.75</v>
      </c>
      <c r="D34" s="29">
        <v>-2.82</v>
      </c>
      <c r="E34" s="29">
        <v>-0.64</v>
      </c>
      <c r="F34" s="27">
        <v>0</v>
      </c>
      <c r="G34" s="29">
        <v>0.89</v>
      </c>
      <c r="H34" s="29">
        <v>-0.33</v>
      </c>
      <c r="I34" s="29">
        <v>-1.95</v>
      </c>
      <c r="J34" s="29">
        <v>1.1000000000000001</v>
      </c>
    </row>
    <row r="35" spans="1:10" ht="16" x14ac:dyDescent="0.2">
      <c r="A35" s="16" t="s">
        <v>186</v>
      </c>
      <c r="B35" s="17"/>
      <c r="C35" s="14">
        <f>(C33/B33)-1</f>
        <v>-0.79831607130275484</v>
      </c>
      <c r="D35" s="14">
        <f>(D33/C33)-1</f>
        <v>-3.4515283842794759</v>
      </c>
      <c r="E35" s="14">
        <f>(E33/D33)-1</f>
        <v>-0.66134663341645883</v>
      </c>
      <c r="F35" s="14">
        <f t="shared" ref="F35:J35" si="4">(F33/E33)-1</f>
        <v>-1.002103934357248</v>
      </c>
      <c r="G35" s="14"/>
      <c r="H35" s="14">
        <f t="shared" si="4"/>
        <v>-1.3760635280771412</v>
      </c>
      <c r="I35" s="14">
        <f t="shared" si="4"/>
        <v>4.7948717948717947</v>
      </c>
      <c r="J35" s="14">
        <f t="shared" si="4"/>
        <v>-1.7162935970848516</v>
      </c>
    </row>
    <row r="36" spans="1:10" ht="16" x14ac:dyDescent="0.2">
      <c r="A36" s="18" t="s">
        <v>187</v>
      </c>
      <c r="B36" s="19">
        <f t="shared" ref="B36:J36" si="5">(B16*(1-0.25))/(B126+B105+B96)</f>
        <v>0.1804524265213904</v>
      </c>
      <c r="C36" s="19">
        <f t="shared" si="5"/>
        <v>4.6754191674507492E-2</v>
      </c>
      <c r="D36" s="19">
        <f t="shared" si="5"/>
        <v>-0.2346024373203284</v>
      </c>
      <c r="E36" s="19">
        <f t="shared" si="5"/>
        <v>-2.2327508881424857E-3</v>
      </c>
      <c r="F36" s="19">
        <f t="shared" si="5"/>
        <v>2.0147557435932006E-2</v>
      </c>
      <c r="G36" s="19">
        <f t="shared" si="5"/>
        <v>4.7821466524973436E-3</v>
      </c>
      <c r="H36" s="19">
        <f t="shared" si="5"/>
        <v>3.2191959589374431E-3</v>
      </c>
      <c r="I36" s="19">
        <f t="shared" si="5"/>
        <v>-1.8169382502049276E-4</v>
      </c>
      <c r="J36" s="19">
        <f t="shared" si="5"/>
        <v>1.3943707706958774E-2</v>
      </c>
    </row>
    <row r="37" spans="1:10" ht="16" x14ac:dyDescent="0.2">
      <c r="A37" s="3" t="s">
        <v>36</v>
      </c>
      <c r="B37" s="4" t="s">
        <v>15</v>
      </c>
      <c r="C37" s="4" t="s">
        <v>15</v>
      </c>
      <c r="D37" s="4" t="s">
        <v>15</v>
      </c>
      <c r="E37" s="4" t="s">
        <v>15</v>
      </c>
      <c r="F37" s="5" t="s">
        <v>15</v>
      </c>
      <c r="G37" s="4" t="s">
        <v>15</v>
      </c>
      <c r="H37" s="4" t="s">
        <v>15</v>
      </c>
      <c r="I37" s="4" t="s">
        <v>15</v>
      </c>
      <c r="J37" s="4" t="s">
        <v>15</v>
      </c>
    </row>
    <row r="38" spans="1:10" ht="16" x14ac:dyDescent="0.2">
      <c r="A38" s="3" t="s">
        <v>37</v>
      </c>
      <c r="B38" s="4" t="s">
        <v>15</v>
      </c>
      <c r="C38" s="4" t="s">
        <v>15</v>
      </c>
      <c r="D38" s="4" t="s">
        <v>15</v>
      </c>
      <c r="E38" s="4" t="s">
        <v>15</v>
      </c>
      <c r="F38" s="5" t="s">
        <v>15</v>
      </c>
      <c r="G38" s="4" t="s">
        <v>15</v>
      </c>
      <c r="H38" s="4" t="s">
        <v>15</v>
      </c>
      <c r="I38" s="4" t="s">
        <v>15</v>
      </c>
      <c r="J38" s="4" t="s">
        <v>15</v>
      </c>
    </row>
    <row r="39" spans="1:10" ht="16" x14ac:dyDescent="0.2">
      <c r="A39" s="3" t="s">
        <v>38</v>
      </c>
      <c r="B39" s="4">
        <v>28386000</v>
      </c>
      <c r="C39" s="4">
        <v>5725000</v>
      </c>
      <c r="D39" s="4">
        <v>-14035000</v>
      </c>
      <c r="E39" s="4">
        <v>-4753000</v>
      </c>
      <c r="F39" s="5">
        <v>10000</v>
      </c>
      <c r="G39" s="4">
        <v>1763000</v>
      </c>
      <c r="H39" s="4">
        <v>-663000</v>
      </c>
      <c r="I39" s="4">
        <v>-3842000</v>
      </c>
      <c r="J39" s="4">
        <v>2752000</v>
      </c>
    </row>
    <row r="40" spans="1:10" ht="16" x14ac:dyDescent="0.2">
      <c r="A40" s="3" t="s">
        <v>39</v>
      </c>
      <c r="B40" s="4">
        <v>46749000</v>
      </c>
      <c r="C40" s="4">
        <v>46749000</v>
      </c>
      <c r="D40" s="4">
        <v>45864000</v>
      </c>
      <c r="E40" s="4">
        <v>51871000</v>
      </c>
      <c r="F40" s="5">
        <v>55460750</v>
      </c>
      <c r="G40" s="4">
        <v>53118000</v>
      </c>
      <c r="H40" s="4">
        <v>55327000</v>
      </c>
      <c r="I40" s="4">
        <v>56664000</v>
      </c>
      <c r="J40" s="4">
        <v>56734000</v>
      </c>
    </row>
    <row r="41" spans="1:10" ht="16" x14ac:dyDescent="0.2">
      <c r="A41" s="3" t="s">
        <v>40</v>
      </c>
      <c r="B41" s="6">
        <v>0.61</v>
      </c>
      <c r="C41" s="6">
        <v>0.12</v>
      </c>
      <c r="D41" s="6">
        <v>-0.31</v>
      </c>
      <c r="E41" s="6">
        <v>-0.09</v>
      </c>
      <c r="F41" s="5">
        <v>0</v>
      </c>
      <c r="G41" s="6">
        <v>0.03</v>
      </c>
      <c r="H41" s="6">
        <v>-0.01</v>
      </c>
      <c r="I41" s="6">
        <v>-7.0000000000000007E-2</v>
      </c>
      <c r="J41" s="6">
        <v>0.05</v>
      </c>
    </row>
    <row r="42" spans="1:10" ht="16" x14ac:dyDescent="0.2">
      <c r="A42" s="3" t="s">
        <v>41</v>
      </c>
      <c r="B42" s="6">
        <v>0.61</v>
      </c>
      <c r="C42" s="6">
        <v>0.12</v>
      </c>
      <c r="D42" s="6">
        <v>-2.64</v>
      </c>
      <c r="E42" s="6">
        <v>-0.37</v>
      </c>
      <c r="F42" s="7">
        <v>-0.02</v>
      </c>
      <c r="G42" s="6">
        <v>0.03</v>
      </c>
      <c r="H42" s="6">
        <v>-0.05</v>
      </c>
      <c r="I42" s="6">
        <v>-0.17</v>
      </c>
      <c r="J42" s="6">
        <v>0.17</v>
      </c>
    </row>
    <row r="43" spans="1:10" ht="16" x14ac:dyDescent="0.2">
      <c r="A43" s="3" t="s">
        <v>42</v>
      </c>
      <c r="B43" s="4">
        <v>46749000</v>
      </c>
      <c r="C43" s="4">
        <v>46749000</v>
      </c>
      <c r="D43" s="4">
        <v>45864000</v>
      </c>
      <c r="E43" s="4">
        <v>51871000</v>
      </c>
      <c r="F43" s="5">
        <v>55959250</v>
      </c>
      <c r="G43" s="4">
        <v>54418000</v>
      </c>
      <c r="H43" s="4">
        <v>55327000</v>
      </c>
      <c r="I43" s="4">
        <v>56664000</v>
      </c>
      <c r="J43" s="4">
        <v>57428000</v>
      </c>
    </row>
    <row r="44" spans="1:10" ht="16" x14ac:dyDescent="0.2">
      <c r="A44" s="3" t="s">
        <v>43</v>
      </c>
      <c r="B44" s="6">
        <v>0.61</v>
      </c>
      <c r="C44" s="6">
        <v>0.12</v>
      </c>
      <c r="D44" s="6">
        <v>-0.31</v>
      </c>
      <c r="E44" s="6">
        <v>-0.09</v>
      </c>
      <c r="F44" s="5">
        <v>0</v>
      </c>
      <c r="G44" s="6">
        <v>0.03</v>
      </c>
      <c r="H44" s="6">
        <v>-0.01</v>
      </c>
      <c r="I44" s="6">
        <v>-7.0000000000000007E-2</v>
      </c>
      <c r="J44" s="6">
        <v>0.05</v>
      </c>
    </row>
    <row r="45" spans="1:10" ht="16" x14ac:dyDescent="0.2">
      <c r="A45" s="3" t="s">
        <v>44</v>
      </c>
      <c r="B45" s="6">
        <v>0.61</v>
      </c>
      <c r="C45" s="6">
        <v>0.12</v>
      </c>
      <c r="D45" s="6">
        <v>-2.64</v>
      </c>
      <c r="E45" s="6">
        <v>-0.37</v>
      </c>
      <c r="F45" s="7">
        <v>-0.02</v>
      </c>
      <c r="G45" s="6">
        <v>0.03</v>
      </c>
      <c r="H45" s="6">
        <v>-0.05</v>
      </c>
      <c r="I45" s="6">
        <v>-0.17</v>
      </c>
      <c r="J45" s="6">
        <v>0.17</v>
      </c>
    </row>
    <row r="46" spans="1:10" ht="16" x14ac:dyDescent="0.2">
      <c r="A46" s="3" t="s">
        <v>45</v>
      </c>
      <c r="B46" s="4">
        <v>39967000</v>
      </c>
      <c r="C46" s="4">
        <v>26204000</v>
      </c>
      <c r="D46" s="4">
        <v>-88055000</v>
      </c>
      <c r="E46" s="4">
        <v>42116000</v>
      </c>
      <c r="F46" s="5">
        <v>84595000</v>
      </c>
      <c r="G46" s="4">
        <v>16988000</v>
      </c>
      <c r="H46" s="4">
        <v>16963000</v>
      </c>
      <c r="I46" s="4">
        <v>14547000</v>
      </c>
      <c r="J46" s="4">
        <v>36097000</v>
      </c>
    </row>
    <row r="47" spans="1:10" ht="16" x14ac:dyDescent="0.2">
      <c r="A47" s="3" t="s">
        <v>46</v>
      </c>
      <c r="B47" s="6">
        <v>16.77</v>
      </c>
      <c r="C47" s="4">
        <v>8</v>
      </c>
      <c r="D47" s="6">
        <v>-17.690000000000001</v>
      </c>
      <c r="E47" s="6">
        <v>5.7</v>
      </c>
      <c r="F47" s="7">
        <v>9.98</v>
      </c>
      <c r="G47" s="6">
        <v>3.7</v>
      </c>
      <c r="H47" s="6">
        <v>5.7</v>
      </c>
      <c r="I47" s="6">
        <v>7.87</v>
      </c>
      <c r="J47" s="6">
        <v>9.98</v>
      </c>
    </row>
    <row r="48" spans="1:10" ht="16" x14ac:dyDescent="0.2">
      <c r="A48" s="3" t="s">
        <v>47</v>
      </c>
      <c r="B48" s="4">
        <v>30297000</v>
      </c>
      <c r="C48" s="4">
        <v>10667000</v>
      </c>
      <c r="D48" s="4">
        <v>-113272000</v>
      </c>
      <c r="E48" s="4">
        <v>-2612000</v>
      </c>
      <c r="F48" s="5">
        <v>28293000</v>
      </c>
      <c r="G48" s="4">
        <v>5178000</v>
      </c>
      <c r="H48" s="4">
        <v>3766000</v>
      </c>
      <c r="I48" s="4">
        <v>-232000</v>
      </c>
      <c r="J48" s="4">
        <v>19581000</v>
      </c>
    </row>
    <row r="49" spans="1:10" ht="16" x14ac:dyDescent="0.2">
      <c r="A49" s="3" t="s">
        <v>48</v>
      </c>
      <c r="B49" s="4">
        <v>30297000</v>
      </c>
      <c r="C49" s="4">
        <v>10667000</v>
      </c>
      <c r="D49" s="4">
        <v>-113272000</v>
      </c>
      <c r="E49" s="4">
        <v>-2612000</v>
      </c>
      <c r="F49" s="5">
        <v>28293000</v>
      </c>
      <c r="G49" s="4">
        <v>5178000</v>
      </c>
      <c r="H49" s="4">
        <v>3766000</v>
      </c>
      <c r="I49" s="4">
        <v>-232000</v>
      </c>
      <c r="J49" s="4">
        <v>19581000</v>
      </c>
    </row>
    <row r="50" spans="1:10" ht="16" x14ac:dyDescent="0.2">
      <c r="A50" s="3" t="s">
        <v>52</v>
      </c>
      <c r="B50" s="4" t="s">
        <v>15</v>
      </c>
      <c r="C50" s="4" t="s">
        <v>15</v>
      </c>
      <c r="D50" s="4">
        <v>26204</v>
      </c>
      <c r="E50" s="4">
        <v>33591</v>
      </c>
      <c r="F50" s="5">
        <v>38528</v>
      </c>
      <c r="G50" s="4">
        <v>10455</v>
      </c>
      <c r="H50" s="4">
        <v>9174</v>
      </c>
      <c r="I50" s="4">
        <v>8967</v>
      </c>
      <c r="J50" s="4">
        <v>11358</v>
      </c>
    </row>
    <row r="51" spans="1:10" ht="16" x14ac:dyDescent="0.2">
      <c r="A51" s="3" t="s">
        <v>53</v>
      </c>
      <c r="B51" s="6">
        <v>0.14000000000000001</v>
      </c>
      <c r="C51" s="6">
        <v>0.17</v>
      </c>
      <c r="D51" s="6">
        <v>4.6500000000000004</v>
      </c>
      <c r="E51" s="4" t="s">
        <v>15</v>
      </c>
      <c r="F51" s="5" t="s">
        <v>15</v>
      </c>
      <c r="G51" s="4" t="s">
        <v>15</v>
      </c>
      <c r="H51" s="4" t="s">
        <v>15</v>
      </c>
      <c r="I51" s="4" t="s">
        <v>15</v>
      </c>
      <c r="J51" s="4" t="s">
        <v>15</v>
      </c>
    </row>
    <row r="52" spans="1:10" ht="16" x14ac:dyDescent="0.2">
      <c r="A52" s="3" t="s">
        <v>54</v>
      </c>
      <c r="B52" s="4">
        <v>9670000</v>
      </c>
      <c r="C52" s="4">
        <v>15537000</v>
      </c>
      <c r="D52" s="4">
        <v>25217000</v>
      </c>
      <c r="E52" s="4">
        <v>44728000</v>
      </c>
      <c r="F52" s="5">
        <v>56302000</v>
      </c>
      <c r="G52" s="4">
        <v>11810000</v>
      </c>
      <c r="H52" s="4">
        <v>13197000</v>
      </c>
      <c r="I52" s="4">
        <v>14779000</v>
      </c>
      <c r="J52" s="4">
        <v>16516000</v>
      </c>
    </row>
    <row r="54" spans="1:10" ht="16" x14ac:dyDescent="0.2">
      <c r="A54" s="2" t="s">
        <v>15</v>
      </c>
      <c r="B54" s="2" t="s">
        <v>0</v>
      </c>
      <c r="C54" s="2" t="s">
        <v>1</v>
      </c>
      <c r="D54" s="2" t="s">
        <v>2</v>
      </c>
      <c r="E54" s="2" t="s">
        <v>3</v>
      </c>
      <c r="F54" s="2" t="s">
        <v>4</v>
      </c>
      <c r="G54" s="2" t="s">
        <v>5</v>
      </c>
      <c r="H54" s="2" t="s">
        <v>6</v>
      </c>
      <c r="I54" s="2" t="s">
        <v>7</v>
      </c>
      <c r="J54" s="2" t="s">
        <v>8</v>
      </c>
    </row>
    <row r="55" spans="1:10" ht="16" x14ac:dyDescent="0.2">
      <c r="A55" s="3" t="s">
        <v>55</v>
      </c>
      <c r="B55" s="4">
        <v>36849000</v>
      </c>
      <c r="C55" s="4">
        <v>63072000</v>
      </c>
      <c r="D55" s="4">
        <v>61291000</v>
      </c>
      <c r="E55" s="4">
        <v>82322000</v>
      </c>
      <c r="F55" s="5">
        <v>94819000</v>
      </c>
      <c r="G55" s="4">
        <v>93805000</v>
      </c>
      <c r="H55" s="4">
        <v>82322000</v>
      </c>
      <c r="I55" s="4">
        <v>81314000</v>
      </c>
      <c r="J55" s="4">
        <v>94819000</v>
      </c>
    </row>
    <row r="56" spans="1:10" ht="16" x14ac:dyDescent="0.2">
      <c r="A56" s="3" t="s">
        <v>56</v>
      </c>
      <c r="B56" s="4">
        <v>15584000</v>
      </c>
      <c r="C56" s="4">
        <v>31640000</v>
      </c>
      <c r="D56" s="4">
        <v>18506000</v>
      </c>
      <c r="E56" s="4">
        <v>20178000</v>
      </c>
      <c r="F56" s="5">
        <v>23717000</v>
      </c>
      <c r="G56" s="4">
        <v>34567000</v>
      </c>
      <c r="H56" s="4">
        <v>20178000</v>
      </c>
      <c r="I56" s="4">
        <v>14296000</v>
      </c>
      <c r="J56" s="4">
        <v>23717000</v>
      </c>
    </row>
    <row r="57" spans="1:10" ht="16" x14ac:dyDescent="0.2">
      <c r="A57" s="3" t="s">
        <v>57</v>
      </c>
      <c r="B57" s="4">
        <v>15584000</v>
      </c>
      <c r="C57" s="4">
        <v>31640000</v>
      </c>
      <c r="D57" s="4">
        <v>18506000</v>
      </c>
      <c r="E57" s="4">
        <v>20178000</v>
      </c>
      <c r="F57" s="5">
        <v>23717000</v>
      </c>
      <c r="G57" s="4">
        <v>34567000</v>
      </c>
      <c r="H57" s="4">
        <v>20178000</v>
      </c>
      <c r="I57" s="4">
        <v>14296000</v>
      </c>
      <c r="J57" s="4">
        <v>23717000</v>
      </c>
    </row>
    <row r="58" spans="1:10" ht="16" x14ac:dyDescent="0.2">
      <c r="A58" s="3" t="s">
        <v>58</v>
      </c>
      <c r="B58" s="4" t="s">
        <v>15</v>
      </c>
      <c r="C58" s="4" t="s">
        <v>15</v>
      </c>
      <c r="D58" s="4" t="s">
        <v>15</v>
      </c>
      <c r="E58" s="4" t="s">
        <v>15</v>
      </c>
      <c r="F58" s="5" t="s">
        <v>15</v>
      </c>
      <c r="G58" s="4" t="s">
        <v>15</v>
      </c>
      <c r="H58" s="4" t="s">
        <v>15</v>
      </c>
      <c r="I58" s="4" t="s">
        <v>15</v>
      </c>
      <c r="J58" s="4" t="s">
        <v>15</v>
      </c>
    </row>
    <row r="59" spans="1:10" ht="16" x14ac:dyDescent="0.2">
      <c r="A59" s="3" t="s">
        <v>59</v>
      </c>
      <c r="B59" s="4">
        <v>6619000</v>
      </c>
      <c r="C59" s="4">
        <v>10837000</v>
      </c>
      <c r="D59" s="4">
        <v>10644000</v>
      </c>
      <c r="E59" s="4">
        <v>11966000</v>
      </c>
      <c r="F59" s="5">
        <v>9379000</v>
      </c>
      <c r="G59" s="4">
        <v>14415000</v>
      </c>
      <c r="H59" s="4">
        <v>11966000</v>
      </c>
      <c r="I59" s="4">
        <v>8778000</v>
      </c>
      <c r="J59" s="4">
        <v>9379000</v>
      </c>
    </row>
    <row r="60" spans="1:10" ht="16" x14ac:dyDescent="0.2">
      <c r="A60" s="3" t="s">
        <v>60</v>
      </c>
      <c r="B60" s="4">
        <v>6619000</v>
      </c>
      <c r="C60" s="4">
        <v>10837000</v>
      </c>
      <c r="D60" s="4">
        <v>10644000</v>
      </c>
      <c r="E60" s="4">
        <v>11966000</v>
      </c>
      <c r="F60" s="5">
        <v>9379000</v>
      </c>
      <c r="G60" s="4">
        <v>14415000</v>
      </c>
      <c r="H60" s="4">
        <v>11966000</v>
      </c>
      <c r="I60" s="4">
        <v>8778000</v>
      </c>
      <c r="J60" s="4">
        <v>9379000</v>
      </c>
    </row>
    <row r="61" spans="1:10" ht="16" x14ac:dyDescent="0.2">
      <c r="A61" s="3" t="s">
        <v>61</v>
      </c>
      <c r="B61" s="4" t="s">
        <v>15</v>
      </c>
      <c r="C61" s="4" t="s">
        <v>15</v>
      </c>
      <c r="D61" s="4" t="s">
        <v>15</v>
      </c>
      <c r="E61" s="4" t="s">
        <v>15</v>
      </c>
      <c r="F61" s="5" t="s">
        <v>15</v>
      </c>
      <c r="G61" s="4" t="s">
        <v>15</v>
      </c>
      <c r="H61" s="4" t="s">
        <v>15</v>
      </c>
      <c r="I61" s="4" t="s">
        <v>15</v>
      </c>
      <c r="J61" s="4" t="s">
        <v>15</v>
      </c>
    </row>
    <row r="62" spans="1:10" ht="16" x14ac:dyDescent="0.2">
      <c r="A62" s="3" t="s">
        <v>62</v>
      </c>
      <c r="B62" s="4" t="s">
        <v>15</v>
      </c>
      <c r="C62" s="4" t="s">
        <v>15</v>
      </c>
      <c r="D62" s="4" t="s">
        <v>15</v>
      </c>
      <c r="E62" s="4" t="s">
        <v>15</v>
      </c>
      <c r="F62" s="5" t="s">
        <v>15</v>
      </c>
      <c r="G62" s="4" t="s">
        <v>15</v>
      </c>
      <c r="H62" s="4" t="s">
        <v>15</v>
      </c>
      <c r="I62" s="4" t="s">
        <v>15</v>
      </c>
      <c r="J62" s="4" t="s">
        <v>15</v>
      </c>
    </row>
    <row r="63" spans="1:10" ht="16" x14ac:dyDescent="0.2">
      <c r="A63" s="3" t="s">
        <v>63</v>
      </c>
      <c r="B63" s="4" t="s">
        <v>15</v>
      </c>
      <c r="C63" s="4" t="s">
        <v>15</v>
      </c>
      <c r="D63" s="4" t="s">
        <v>15</v>
      </c>
      <c r="E63" s="4" t="s">
        <v>15</v>
      </c>
      <c r="F63" s="5" t="s">
        <v>15</v>
      </c>
      <c r="G63" s="4" t="s">
        <v>15</v>
      </c>
      <c r="H63" s="4" t="s">
        <v>15</v>
      </c>
      <c r="I63" s="4" t="s">
        <v>15</v>
      </c>
      <c r="J63" s="4" t="s">
        <v>15</v>
      </c>
    </row>
    <row r="64" spans="1:10" ht="16" x14ac:dyDescent="0.2">
      <c r="A64" s="3" t="s">
        <v>64</v>
      </c>
      <c r="B64" s="4">
        <v>10915000</v>
      </c>
      <c r="C64" s="4">
        <v>15580000</v>
      </c>
      <c r="D64" s="4">
        <v>23345000</v>
      </c>
      <c r="E64" s="4">
        <v>39229000</v>
      </c>
      <c r="F64" s="5">
        <v>47608000</v>
      </c>
      <c r="G64" s="4">
        <v>33713000</v>
      </c>
      <c r="H64" s="4">
        <v>39229000</v>
      </c>
      <c r="I64" s="4">
        <v>43957000</v>
      </c>
      <c r="J64" s="4">
        <v>47608000</v>
      </c>
    </row>
    <row r="65" spans="1:10" ht="16" x14ac:dyDescent="0.2">
      <c r="A65" s="3" t="s">
        <v>65</v>
      </c>
      <c r="B65" s="4">
        <v>1408000</v>
      </c>
      <c r="C65" s="4">
        <v>5004000</v>
      </c>
      <c r="D65" s="4">
        <v>5549000</v>
      </c>
      <c r="E65" s="4">
        <v>21335000</v>
      </c>
      <c r="F65" s="5">
        <v>30471000</v>
      </c>
      <c r="G65" s="4">
        <v>16070000</v>
      </c>
      <c r="H65" s="4">
        <v>21335000</v>
      </c>
      <c r="I65" s="4">
        <v>24721000</v>
      </c>
      <c r="J65" s="4">
        <v>30471000</v>
      </c>
    </row>
    <row r="66" spans="1:10" ht="16" x14ac:dyDescent="0.2">
      <c r="A66" s="3" t="s">
        <v>66</v>
      </c>
      <c r="B66" s="4" t="s">
        <v>15</v>
      </c>
      <c r="C66" s="4" t="s">
        <v>15</v>
      </c>
      <c r="D66" s="4" t="s">
        <v>15</v>
      </c>
      <c r="E66" s="4" t="s">
        <v>15</v>
      </c>
      <c r="F66" s="5" t="s">
        <v>15</v>
      </c>
      <c r="G66" s="4" t="s">
        <v>15</v>
      </c>
      <c r="H66" s="4" t="s">
        <v>15</v>
      </c>
      <c r="I66" s="4" t="s">
        <v>15</v>
      </c>
      <c r="J66" s="4" t="s">
        <v>15</v>
      </c>
    </row>
    <row r="67" spans="1:10" ht="16" x14ac:dyDescent="0.2">
      <c r="A67" s="3" t="s">
        <v>67</v>
      </c>
      <c r="B67" s="4">
        <v>9507000</v>
      </c>
      <c r="C67" s="4">
        <v>10576000</v>
      </c>
      <c r="D67" s="4">
        <v>17796000</v>
      </c>
      <c r="E67" s="4">
        <v>17894000</v>
      </c>
      <c r="F67" s="5">
        <v>17137000</v>
      </c>
      <c r="G67" s="4">
        <v>17643000</v>
      </c>
      <c r="H67" s="4">
        <v>17894000</v>
      </c>
      <c r="I67" s="4">
        <v>19236000</v>
      </c>
      <c r="J67" s="4">
        <v>17137000</v>
      </c>
    </row>
    <row r="68" spans="1:10" ht="16" x14ac:dyDescent="0.2">
      <c r="A68" s="3" t="s">
        <v>68</v>
      </c>
      <c r="B68" s="4" t="s">
        <v>15</v>
      </c>
      <c r="C68" s="4" t="s">
        <v>15</v>
      </c>
      <c r="D68" s="4" t="s">
        <v>15</v>
      </c>
      <c r="E68" s="4" t="s">
        <v>15</v>
      </c>
      <c r="F68" s="5" t="s">
        <v>15</v>
      </c>
      <c r="G68" s="4" t="s">
        <v>15</v>
      </c>
      <c r="H68" s="4" t="s">
        <v>15</v>
      </c>
      <c r="I68" s="4" t="s">
        <v>15</v>
      </c>
      <c r="J68" s="4" t="s">
        <v>15</v>
      </c>
    </row>
    <row r="69" spans="1:10" ht="16" x14ac:dyDescent="0.2">
      <c r="A69" s="3" t="s">
        <v>69</v>
      </c>
      <c r="B69" s="4" t="s">
        <v>15</v>
      </c>
      <c r="C69" s="4" t="s">
        <v>15</v>
      </c>
      <c r="D69" s="4" t="s">
        <v>15</v>
      </c>
      <c r="E69" s="4" t="s">
        <v>15</v>
      </c>
      <c r="F69" s="5" t="s">
        <v>15</v>
      </c>
      <c r="G69" s="4" t="s">
        <v>15</v>
      </c>
      <c r="H69" s="4" t="s">
        <v>15</v>
      </c>
      <c r="I69" s="4" t="s">
        <v>15</v>
      </c>
      <c r="J69" s="4" t="s">
        <v>15</v>
      </c>
    </row>
    <row r="70" spans="1:10" ht="16" x14ac:dyDescent="0.2">
      <c r="A70" s="3" t="s">
        <v>70</v>
      </c>
      <c r="B70" s="4">
        <v>3731000</v>
      </c>
      <c r="C70" s="4">
        <v>5015000</v>
      </c>
      <c r="D70" s="4">
        <v>8796000</v>
      </c>
      <c r="E70" s="4">
        <v>10949000</v>
      </c>
      <c r="F70" s="5">
        <v>14115000</v>
      </c>
      <c r="G70" s="4">
        <v>11110000</v>
      </c>
      <c r="H70" s="4">
        <v>10949000</v>
      </c>
      <c r="I70" s="4">
        <v>14283000</v>
      </c>
      <c r="J70" s="4">
        <v>14115000</v>
      </c>
    </row>
    <row r="71" spans="1:10" ht="16" x14ac:dyDescent="0.2">
      <c r="A71" s="3" t="s">
        <v>71</v>
      </c>
      <c r="B71" s="4" t="s">
        <v>15</v>
      </c>
      <c r="C71" s="4" t="s">
        <v>15</v>
      </c>
      <c r="D71" s="4" t="s">
        <v>15</v>
      </c>
      <c r="E71" s="4" t="s">
        <v>15</v>
      </c>
      <c r="F71" s="5" t="s">
        <v>15</v>
      </c>
      <c r="G71" s="4" t="s">
        <v>15</v>
      </c>
      <c r="H71" s="4" t="s">
        <v>15</v>
      </c>
      <c r="I71" s="4" t="s">
        <v>15</v>
      </c>
      <c r="J71" s="4" t="s">
        <v>15</v>
      </c>
    </row>
    <row r="72" spans="1:10" ht="16" x14ac:dyDescent="0.2">
      <c r="A72" s="3" t="s">
        <v>72</v>
      </c>
      <c r="B72" s="4" t="s">
        <v>15</v>
      </c>
      <c r="C72" s="4" t="s">
        <v>15</v>
      </c>
      <c r="D72" s="4" t="s">
        <v>15</v>
      </c>
      <c r="E72" s="4" t="s">
        <v>15</v>
      </c>
      <c r="F72" s="5" t="s">
        <v>15</v>
      </c>
      <c r="G72" s="4" t="s">
        <v>15</v>
      </c>
      <c r="H72" s="4" t="s">
        <v>15</v>
      </c>
      <c r="I72" s="4" t="s">
        <v>15</v>
      </c>
      <c r="J72" s="4" t="s">
        <v>15</v>
      </c>
    </row>
    <row r="73" spans="1:10" ht="16" x14ac:dyDescent="0.2">
      <c r="A73" s="3" t="s">
        <v>73</v>
      </c>
      <c r="B73" s="4" t="s">
        <v>15</v>
      </c>
      <c r="C73" s="4" t="s">
        <v>15</v>
      </c>
      <c r="D73" s="4" t="s">
        <v>15</v>
      </c>
      <c r="E73" s="4" t="s">
        <v>15</v>
      </c>
      <c r="F73" s="5" t="s">
        <v>15</v>
      </c>
      <c r="G73" s="4" t="s">
        <v>15</v>
      </c>
      <c r="H73" s="4" t="s">
        <v>15</v>
      </c>
      <c r="I73" s="4" t="s">
        <v>15</v>
      </c>
      <c r="J73" s="4" t="s">
        <v>15</v>
      </c>
    </row>
    <row r="74" spans="1:10" ht="16" x14ac:dyDescent="0.2">
      <c r="A74" s="3" t="s">
        <v>74</v>
      </c>
      <c r="B74" s="4" t="s">
        <v>15</v>
      </c>
      <c r="C74" s="4" t="s">
        <v>15</v>
      </c>
      <c r="D74" s="4" t="s">
        <v>15</v>
      </c>
      <c r="E74" s="4" t="s">
        <v>15</v>
      </c>
      <c r="F74" s="5" t="s">
        <v>15</v>
      </c>
      <c r="G74" s="4" t="s">
        <v>15</v>
      </c>
      <c r="H74" s="4" t="s">
        <v>15</v>
      </c>
      <c r="I74" s="4" t="s">
        <v>15</v>
      </c>
      <c r="J74" s="4" t="s">
        <v>15</v>
      </c>
    </row>
    <row r="75" spans="1:10" ht="16" x14ac:dyDescent="0.2">
      <c r="A75" s="3" t="s">
        <v>75</v>
      </c>
      <c r="B75" s="4" t="s">
        <v>15</v>
      </c>
      <c r="C75" s="4" t="s">
        <v>15</v>
      </c>
      <c r="D75" s="4" t="s">
        <v>15</v>
      </c>
      <c r="E75" s="4" t="s">
        <v>15</v>
      </c>
      <c r="F75" s="5" t="s">
        <v>15</v>
      </c>
      <c r="G75" s="4" t="s">
        <v>15</v>
      </c>
      <c r="H75" s="4" t="s">
        <v>15</v>
      </c>
      <c r="I75" s="4" t="s">
        <v>15</v>
      </c>
      <c r="J75" s="4" t="s">
        <v>15</v>
      </c>
    </row>
    <row r="76" spans="1:10" ht="16" x14ac:dyDescent="0.2">
      <c r="A76" s="3" t="s">
        <v>76</v>
      </c>
      <c r="B76" s="4">
        <v>131432000</v>
      </c>
      <c r="C76" s="4">
        <v>196587000</v>
      </c>
      <c r="D76" s="4">
        <v>493655000</v>
      </c>
      <c r="E76" s="4">
        <v>1104038000</v>
      </c>
      <c r="F76" s="5">
        <v>1273461000</v>
      </c>
      <c r="G76" s="4">
        <v>1035452000</v>
      </c>
      <c r="H76" s="4">
        <v>1104038000</v>
      </c>
      <c r="I76" s="4">
        <v>1183651000</v>
      </c>
      <c r="J76" s="4">
        <v>1273461000</v>
      </c>
    </row>
    <row r="77" spans="1:10" ht="16" x14ac:dyDescent="0.2">
      <c r="A77" s="3" t="s">
        <v>77</v>
      </c>
      <c r="B77" s="4">
        <v>103176000</v>
      </c>
      <c r="C77" s="4">
        <v>165423000</v>
      </c>
      <c r="D77" s="4">
        <v>301998000</v>
      </c>
      <c r="E77" s="4">
        <v>710217000</v>
      </c>
      <c r="F77" s="5">
        <v>864537000</v>
      </c>
      <c r="G77" s="4">
        <v>643896000</v>
      </c>
      <c r="H77" s="4">
        <v>710217000</v>
      </c>
      <c r="I77" s="4">
        <v>784139000</v>
      </c>
      <c r="J77" s="4">
        <v>864537000</v>
      </c>
    </row>
    <row r="78" spans="1:10" ht="16" x14ac:dyDescent="0.2">
      <c r="A78" s="3" t="s">
        <v>78</v>
      </c>
      <c r="B78" s="4">
        <v>125882000</v>
      </c>
      <c r="C78" s="4">
        <v>200182000</v>
      </c>
      <c r="D78" s="4">
        <v>357046000</v>
      </c>
      <c r="E78" s="4">
        <v>782713000</v>
      </c>
      <c r="F78" s="5">
        <v>956960000</v>
      </c>
      <c r="G78" s="4">
        <v>708185000</v>
      </c>
      <c r="H78" s="4">
        <v>782713000</v>
      </c>
      <c r="I78" s="4">
        <v>866074000</v>
      </c>
      <c r="J78" s="4">
        <v>956960000</v>
      </c>
    </row>
    <row r="79" spans="1:10" ht="16" x14ac:dyDescent="0.2">
      <c r="A79" s="3" t="s">
        <v>79</v>
      </c>
      <c r="B79" s="4">
        <v>22706000</v>
      </c>
      <c r="C79" s="4">
        <v>34759000</v>
      </c>
      <c r="D79" s="4">
        <v>55048000</v>
      </c>
      <c r="E79" s="4">
        <v>72496000</v>
      </c>
      <c r="F79" s="5">
        <v>92423000</v>
      </c>
      <c r="G79" s="4">
        <v>64289000</v>
      </c>
      <c r="H79" s="4">
        <v>72496000</v>
      </c>
      <c r="I79" s="4">
        <v>81935000</v>
      </c>
      <c r="J79" s="4">
        <v>92423000</v>
      </c>
    </row>
    <row r="80" spans="1:10" ht="16" x14ac:dyDescent="0.2">
      <c r="A80" s="3" t="s">
        <v>80</v>
      </c>
      <c r="B80" s="4" t="s">
        <v>15</v>
      </c>
      <c r="C80" s="4" t="s">
        <v>15</v>
      </c>
      <c r="D80" s="4" t="s">
        <v>15</v>
      </c>
      <c r="E80" s="4" t="s">
        <v>15</v>
      </c>
      <c r="F80" s="5" t="s">
        <v>15</v>
      </c>
      <c r="G80" s="4" t="s">
        <v>15</v>
      </c>
      <c r="H80" s="4" t="s">
        <v>15</v>
      </c>
      <c r="I80" s="4" t="s">
        <v>15</v>
      </c>
      <c r="J80" s="4" t="s">
        <v>15</v>
      </c>
    </row>
    <row r="81" spans="1:10" ht="16" x14ac:dyDescent="0.2">
      <c r="A81" s="3" t="s">
        <v>81</v>
      </c>
      <c r="B81" s="4" t="s">
        <v>15</v>
      </c>
      <c r="C81" s="4" t="s">
        <v>15</v>
      </c>
      <c r="D81" s="4" t="s">
        <v>15</v>
      </c>
      <c r="E81" s="4" t="s">
        <v>15</v>
      </c>
      <c r="F81" s="5" t="s">
        <v>15</v>
      </c>
      <c r="G81" s="4" t="s">
        <v>15</v>
      </c>
      <c r="H81" s="4" t="s">
        <v>15</v>
      </c>
      <c r="I81" s="4" t="s">
        <v>15</v>
      </c>
      <c r="J81" s="4" t="s">
        <v>15</v>
      </c>
    </row>
    <row r="82" spans="1:10" ht="16" x14ac:dyDescent="0.2">
      <c r="A82" s="3" t="s">
        <v>82</v>
      </c>
      <c r="B82" s="4" t="s">
        <v>15</v>
      </c>
      <c r="C82" s="4" t="s">
        <v>15</v>
      </c>
      <c r="D82" s="4" t="s">
        <v>15</v>
      </c>
      <c r="E82" s="4" t="s">
        <v>15</v>
      </c>
      <c r="F82" s="5" t="s">
        <v>15</v>
      </c>
      <c r="G82" s="4" t="s">
        <v>15</v>
      </c>
      <c r="H82" s="4" t="s">
        <v>15</v>
      </c>
      <c r="I82" s="4" t="s">
        <v>15</v>
      </c>
      <c r="J82" s="4" t="s">
        <v>15</v>
      </c>
    </row>
    <row r="83" spans="1:10" ht="16" x14ac:dyDescent="0.2">
      <c r="A83" s="3" t="s">
        <v>83</v>
      </c>
      <c r="B83" s="4">
        <v>28256000</v>
      </c>
      <c r="C83" s="4">
        <v>31164000</v>
      </c>
      <c r="D83" s="4">
        <v>191657000</v>
      </c>
      <c r="E83" s="4">
        <v>393821000</v>
      </c>
      <c r="F83" s="5">
        <v>408924000</v>
      </c>
      <c r="G83" s="4">
        <v>391556000</v>
      </c>
      <c r="H83" s="4">
        <v>393821000</v>
      </c>
      <c r="I83" s="4">
        <v>399512000</v>
      </c>
      <c r="J83" s="4">
        <v>408924000</v>
      </c>
    </row>
    <row r="84" spans="1:10" ht="16" x14ac:dyDescent="0.2">
      <c r="A84" s="3" t="s">
        <v>84</v>
      </c>
      <c r="B84" s="4">
        <v>27078000</v>
      </c>
      <c r="C84" s="4">
        <v>29398000</v>
      </c>
      <c r="D84" s="4">
        <v>29818000</v>
      </c>
      <c r="E84" s="4">
        <v>30433000</v>
      </c>
      <c r="F84" s="5">
        <v>28664000</v>
      </c>
      <c r="G84" s="4">
        <v>31455000</v>
      </c>
      <c r="H84" s="4">
        <v>30433000</v>
      </c>
      <c r="I84" s="4">
        <v>29522000</v>
      </c>
      <c r="J84" s="4">
        <v>28664000</v>
      </c>
    </row>
    <row r="85" spans="1:10" ht="16" x14ac:dyDescent="0.2">
      <c r="A85" s="3" t="s">
        <v>85</v>
      </c>
      <c r="B85" s="4">
        <v>16531000</v>
      </c>
      <c r="C85" s="4">
        <v>18075000</v>
      </c>
      <c r="D85" s="4">
        <v>18715000</v>
      </c>
      <c r="E85" s="4">
        <v>21629000</v>
      </c>
      <c r="F85" s="5">
        <v>21629000</v>
      </c>
      <c r="G85" s="4">
        <v>21629000</v>
      </c>
      <c r="H85" s="4">
        <v>21629000</v>
      </c>
      <c r="I85" s="4">
        <v>21629000</v>
      </c>
      <c r="J85" s="4">
        <v>21629000</v>
      </c>
    </row>
    <row r="86" spans="1:10" ht="16" x14ac:dyDescent="0.2">
      <c r="A86" s="3" t="s">
        <v>86</v>
      </c>
      <c r="B86" s="4">
        <v>10547000</v>
      </c>
      <c r="C86" s="4">
        <v>11323000</v>
      </c>
      <c r="D86" s="4">
        <v>11103000</v>
      </c>
      <c r="E86" s="4">
        <v>8804000</v>
      </c>
      <c r="F86" s="5">
        <v>7035000</v>
      </c>
      <c r="G86" s="4">
        <v>9826000</v>
      </c>
      <c r="H86" s="4">
        <v>8804000</v>
      </c>
      <c r="I86" s="4">
        <v>7893000</v>
      </c>
      <c r="J86" s="4">
        <v>7035000</v>
      </c>
    </row>
    <row r="87" spans="1:10" ht="16" x14ac:dyDescent="0.2">
      <c r="A87" s="3" t="s">
        <v>87</v>
      </c>
      <c r="B87" s="4" t="s">
        <v>15</v>
      </c>
      <c r="C87" s="4" t="s">
        <v>15</v>
      </c>
      <c r="D87" s="4" t="s">
        <v>15</v>
      </c>
      <c r="E87" s="4" t="s">
        <v>15</v>
      </c>
      <c r="F87" s="5" t="s">
        <v>15</v>
      </c>
      <c r="G87" s="4" t="s">
        <v>15</v>
      </c>
      <c r="H87" s="4" t="s">
        <v>15</v>
      </c>
      <c r="I87" s="4" t="s">
        <v>15</v>
      </c>
      <c r="J87" s="4" t="s">
        <v>15</v>
      </c>
    </row>
    <row r="88" spans="1:10" ht="16" x14ac:dyDescent="0.2">
      <c r="A88" s="3" t="s">
        <v>88</v>
      </c>
      <c r="B88" s="4" t="s">
        <v>15</v>
      </c>
      <c r="C88" s="4" t="s">
        <v>15</v>
      </c>
      <c r="D88" s="4" t="s">
        <v>15</v>
      </c>
      <c r="E88" s="4" t="s">
        <v>15</v>
      </c>
      <c r="F88" s="5" t="s">
        <v>15</v>
      </c>
      <c r="G88" s="4" t="s">
        <v>15</v>
      </c>
      <c r="H88" s="4" t="s">
        <v>15</v>
      </c>
      <c r="I88" s="4" t="s">
        <v>15</v>
      </c>
      <c r="J88" s="4" t="s">
        <v>15</v>
      </c>
    </row>
    <row r="89" spans="1:10" ht="16" x14ac:dyDescent="0.2">
      <c r="A89" s="3" t="s">
        <v>89</v>
      </c>
      <c r="B89" s="4">
        <v>1178000</v>
      </c>
      <c r="C89" s="4">
        <v>1766000</v>
      </c>
      <c r="D89" s="4">
        <v>161839000</v>
      </c>
      <c r="E89" s="4">
        <v>363388000</v>
      </c>
      <c r="F89" s="5">
        <v>380260000</v>
      </c>
      <c r="G89" s="4">
        <v>360101000</v>
      </c>
      <c r="H89" s="4">
        <v>363388000</v>
      </c>
      <c r="I89" s="4">
        <v>369990000</v>
      </c>
      <c r="J89" s="4">
        <v>380260000</v>
      </c>
    </row>
    <row r="90" spans="1:10" ht="16" x14ac:dyDescent="0.2">
      <c r="A90" s="3" t="s">
        <v>90</v>
      </c>
      <c r="B90" s="4">
        <v>168281000</v>
      </c>
      <c r="C90" s="4">
        <v>259659000</v>
      </c>
      <c r="D90" s="4">
        <v>554946000</v>
      </c>
      <c r="E90" s="4">
        <v>1186360000</v>
      </c>
      <c r="F90" s="5">
        <v>1368280000</v>
      </c>
      <c r="G90" s="4">
        <v>1129257000</v>
      </c>
      <c r="H90" s="4">
        <v>1186360000</v>
      </c>
      <c r="I90" s="4">
        <v>1264965000</v>
      </c>
      <c r="J90" s="4">
        <v>1368280000</v>
      </c>
    </row>
    <row r="91" spans="1:10" ht="16" x14ac:dyDescent="0.2">
      <c r="A91" s="3" t="s">
        <v>91</v>
      </c>
      <c r="B91" s="4">
        <v>20357000</v>
      </c>
      <c r="C91" s="4">
        <v>26128000</v>
      </c>
      <c r="D91" s="4">
        <v>44953000</v>
      </c>
      <c r="E91" s="4">
        <v>48722000</v>
      </c>
      <c r="F91" s="5">
        <v>60520000</v>
      </c>
      <c r="G91" s="4">
        <v>49823000</v>
      </c>
      <c r="H91" s="4">
        <v>48722000</v>
      </c>
      <c r="I91" s="4">
        <v>52455000</v>
      </c>
      <c r="J91" s="4">
        <v>60520000</v>
      </c>
    </row>
    <row r="92" spans="1:10" ht="16" x14ac:dyDescent="0.2">
      <c r="A92" s="3" t="s">
        <v>92</v>
      </c>
      <c r="B92" s="4">
        <v>13045000</v>
      </c>
      <c r="C92" s="4">
        <v>16092000</v>
      </c>
      <c r="D92" s="4">
        <v>20440000</v>
      </c>
      <c r="E92" s="4">
        <v>21270000</v>
      </c>
      <c r="F92" s="5">
        <v>24648000</v>
      </c>
      <c r="G92" s="4">
        <v>26973000</v>
      </c>
      <c r="H92" s="4">
        <v>21270000</v>
      </c>
      <c r="I92" s="4">
        <v>24092000</v>
      </c>
      <c r="J92" s="4">
        <v>24648000</v>
      </c>
    </row>
    <row r="93" spans="1:10" ht="16" x14ac:dyDescent="0.2">
      <c r="A93" s="3" t="s">
        <v>93</v>
      </c>
      <c r="B93" s="4" t="s">
        <v>15</v>
      </c>
      <c r="C93" s="4" t="s">
        <v>15</v>
      </c>
      <c r="D93" s="4" t="s">
        <v>15</v>
      </c>
      <c r="E93" s="4" t="s">
        <v>15</v>
      </c>
      <c r="F93" s="5" t="s">
        <v>15</v>
      </c>
      <c r="G93" s="4" t="s">
        <v>15</v>
      </c>
      <c r="H93" s="4" t="s">
        <v>15</v>
      </c>
      <c r="I93" s="4" t="s">
        <v>15</v>
      </c>
      <c r="J93" s="4" t="s">
        <v>15</v>
      </c>
    </row>
    <row r="94" spans="1:10" ht="16" x14ac:dyDescent="0.2">
      <c r="A94" s="3" t="s">
        <v>94</v>
      </c>
      <c r="B94" s="4" t="s">
        <v>15</v>
      </c>
      <c r="C94" s="4" t="s">
        <v>15</v>
      </c>
      <c r="D94" s="4" t="s">
        <v>15</v>
      </c>
      <c r="E94" s="4" t="s">
        <v>15</v>
      </c>
      <c r="F94" s="5" t="s">
        <v>15</v>
      </c>
      <c r="G94" s="4" t="s">
        <v>15</v>
      </c>
      <c r="H94" s="4" t="s">
        <v>15</v>
      </c>
      <c r="I94" s="4" t="s">
        <v>15</v>
      </c>
      <c r="J94" s="4" t="s">
        <v>15</v>
      </c>
    </row>
    <row r="95" spans="1:10" ht="16" x14ac:dyDescent="0.2">
      <c r="A95" s="3" t="s">
        <v>95</v>
      </c>
      <c r="B95" s="4">
        <v>7312000</v>
      </c>
      <c r="C95" s="4">
        <v>10036000</v>
      </c>
      <c r="D95" s="4">
        <v>24513000</v>
      </c>
      <c r="E95" s="4">
        <v>27452000</v>
      </c>
      <c r="F95" s="5">
        <v>35872000</v>
      </c>
      <c r="G95" s="4">
        <v>22850000</v>
      </c>
      <c r="H95" s="4">
        <v>27452000</v>
      </c>
      <c r="I95" s="4">
        <v>28363000</v>
      </c>
      <c r="J95" s="4">
        <v>35872000</v>
      </c>
    </row>
    <row r="96" spans="1:10" ht="16" x14ac:dyDescent="0.2">
      <c r="A96" s="3" t="s">
        <v>96</v>
      </c>
      <c r="B96" s="4">
        <v>4194000</v>
      </c>
      <c r="C96" s="4">
        <v>21119000</v>
      </c>
      <c r="D96" s="4">
        <v>67596000</v>
      </c>
      <c r="E96" s="4">
        <v>130762000</v>
      </c>
      <c r="F96" s="5">
        <v>203807000</v>
      </c>
      <c r="G96" s="4">
        <v>104826000</v>
      </c>
      <c r="H96" s="4">
        <v>130762000</v>
      </c>
      <c r="I96" s="4">
        <v>171254000</v>
      </c>
      <c r="J96" s="4">
        <v>203807000</v>
      </c>
    </row>
    <row r="97" spans="1:10" ht="16" x14ac:dyDescent="0.2">
      <c r="A97" s="3" t="s">
        <v>97</v>
      </c>
      <c r="B97" s="4">
        <v>3153000</v>
      </c>
      <c r="C97" s="4">
        <v>18788000</v>
      </c>
      <c r="D97" s="4">
        <v>64207000</v>
      </c>
      <c r="E97" s="4">
        <v>113474000</v>
      </c>
      <c r="F97" s="5">
        <v>184328000</v>
      </c>
      <c r="G97" s="4">
        <v>88360000</v>
      </c>
      <c r="H97" s="4">
        <v>113474000</v>
      </c>
      <c r="I97" s="4">
        <v>153589000</v>
      </c>
      <c r="J97" s="4">
        <v>184328000</v>
      </c>
    </row>
    <row r="98" spans="1:10" ht="16" x14ac:dyDescent="0.2">
      <c r="A98" s="3" t="s">
        <v>98</v>
      </c>
      <c r="B98" s="4">
        <v>1041000</v>
      </c>
      <c r="C98" s="4">
        <v>2331000</v>
      </c>
      <c r="D98" s="4">
        <v>3389000</v>
      </c>
      <c r="E98" s="4">
        <v>17288000</v>
      </c>
      <c r="F98" s="5">
        <v>19479000</v>
      </c>
      <c r="G98" s="4">
        <v>16466000</v>
      </c>
      <c r="H98" s="4">
        <v>17288000</v>
      </c>
      <c r="I98" s="4">
        <v>17665000</v>
      </c>
      <c r="J98" s="4">
        <v>19479000</v>
      </c>
    </row>
    <row r="99" spans="1:10" ht="16" x14ac:dyDescent="0.2">
      <c r="A99" s="3" t="s">
        <v>99</v>
      </c>
      <c r="B99" s="4">
        <v>8349000</v>
      </c>
      <c r="C99" s="4">
        <v>12621000</v>
      </c>
      <c r="D99" s="4">
        <v>29728000</v>
      </c>
      <c r="E99" s="4">
        <v>33195000</v>
      </c>
      <c r="F99" s="5">
        <v>29811000</v>
      </c>
      <c r="G99" s="4">
        <v>35725000</v>
      </c>
      <c r="H99" s="4">
        <v>33195000</v>
      </c>
      <c r="I99" s="4">
        <v>29114000</v>
      </c>
      <c r="J99" s="4">
        <v>29811000</v>
      </c>
    </row>
    <row r="100" spans="1:10" ht="16" x14ac:dyDescent="0.2">
      <c r="A100" s="3" t="s">
        <v>100</v>
      </c>
      <c r="B100" s="4">
        <v>7504000</v>
      </c>
      <c r="C100" s="4">
        <v>11192000</v>
      </c>
      <c r="D100" s="4">
        <v>22807000</v>
      </c>
      <c r="E100" s="4">
        <v>25335000</v>
      </c>
      <c r="F100" s="5">
        <v>22300000</v>
      </c>
      <c r="G100" s="4">
        <v>28829000</v>
      </c>
      <c r="H100" s="4">
        <v>25335000</v>
      </c>
      <c r="I100" s="4">
        <v>21815000</v>
      </c>
      <c r="J100" s="4">
        <v>22300000</v>
      </c>
    </row>
    <row r="101" spans="1:10" ht="16" x14ac:dyDescent="0.2">
      <c r="A101" s="3" t="s">
        <v>101</v>
      </c>
      <c r="B101" s="4" t="s">
        <v>15</v>
      </c>
      <c r="C101" s="4" t="s">
        <v>15</v>
      </c>
      <c r="D101" s="4" t="s">
        <v>15</v>
      </c>
      <c r="E101" s="4" t="s">
        <v>15</v>
      </c>
      <c r="F101" s="5" t="s">
        <v>15</v>
      </c>
      <c r="G101" s="4" t="s">
        <v>15</v>
      </c>
      <c r="H101" s="4" t="s">
        <v>15</v>
      </c>
      <c r="I101" s="4" t="s">
        <v>15</v>
      </c>
      <c r="J101" s="4" t="s">
        <v>15</v>
      </c>
    </row>
    <row r="102" spans="1:10" ht="16" x14ac:dyDescent="0.2">
      <c r="A102" s="3" t="s">
        <v>102</v>
      </c>
      <c r="B102" s="4" t="s">
        <v>15</v>
      </c>
      <c r="C102" s="4" t="s">
        <v>15</v>
      </c>
      <c r="D102" s="4" t="s">
        <v>15</v>
      </c>
      <c r="E102" s="4" t="s">
        <v>15</v>
      </c>
      <c r="F102" s="5" t="s">
        <v>15</v>
      </c>
      <c r="G102" s="4" t="s">
        <v>15</v>
      </c>
      <c r="H102" s="4" t="s">
        <v>15</v>
      </c>
      <c r="I102" s="4" t="s">
        <v>15</v>
      </c>
      <c r="J102" s="4" t="s">
        <v>15</v>
      </c>
    </row>
    <row r="103" spans="1:10" ht="16" x14ac:dyDescent="0.2">
      <c r="A103" s="3" t="s">
        <v>103</v>
      </c>
      <c r="B103" s="4">
        <v>845000</v>
      </c>
      <c r="C103" s="4">
        <v>1429000</v>
      </c>
      <c r="D103" s="4">
        <v>6921000</v>
      </c>
      <c r="E103" s="4">
        <v>7860000</v>
      </c>
      <c r="F103" s="5">
        <v>7511000</v>
      </c>
      <c r="G103" s="4">
        <v>6896000</v>
      </c>
      <c r="H103" s="4">
        <v>7860000</v>
      </c>
      <c r="I103" s="4">
        <v>7299000</v>
      </c>
      <c r="J103" s="4">
        <v>7511000</v>
      </c>
    </row>
    <row r="104" spans="1:10" ht="16" x14ac:dyDescent="0.2">
      <c r="A104" s="3" t="s">
        <v>104</v>
      </c>
      <c r="B104" s="4">
        <v>32900000</v>
      </c>
      <c r="C104" s="4">
        <v>59868000</v>
      </c>
      <c r="D104" s="4">
        <v>142277000</v>
      </c>
      <c r="E104" s="4">
        <v>212679000</v>
      </c>
      <c r="F104" s="5">
        <v>294138000</v>
      </c>
      <c r="G104" s="4">
        <v>190374000</v>
      </c>
      <c r="H104" s="4">
        <v>212679000</v>
      </c>
      <c r="I104" s="4">
        <v>252823000</v>
      </c>
      <c r="J104" s="4">
        <v>294138000</v>
      </c>
    </row>
    <row r="105" spans="1:10" ht="16" x14ac:dyDescent="0.2">
      <c r="A105" s="3" t="s">
        <v>105</v>
      </c>
      <c r="B105" s="4">
        <v>43712000</v>
      </c>
      <c r="C105" s="4">
        <v>74004000</v>
      </c>
      <c r="D105" s="4">
        <v>84337000</v>
      </c>
      <c r="E105" s="4">
        <v>494655000</v>
      </c>
      <c r="F105" s="5">
        <v>579335000</v>
      </c>
      <c r="G105" s="4">
        <v>463455000</v>
      </c>
      <c r="H105" s="4">
        <v>494655000</v>
      </c>
      <c r="I105" s="4">
        <v>537698000</v>
      </c>
      <c r="J105" s="4">
        <v>579335000</v>
      </c>
    </row>
    <row r="106" spans="1:10" ht="16" x14ac:dyDescent="0.2">
      <c r="A106" s="3" t="s">
        <v>106</v>
      </c>
      <c r="B106" s="4">
        <v>22881000</v>
      </c>
      <c r="C106" s="4">
        <v>24367000</v>
      </c>
      <c r="D106" s="4">
        <v>4749000</v>
      </c>
      <c r="E106" s="4">
        <v>96297000</v>
      </c>
      <c r="F106" s="5">
        <v>94506000</v>
      </c>
      <c r="G106" s="4">
        <v>96879000</v>
      </c>
      <c r="H106" s="4">
        <v>96297000</v>
      </c>
      <c r="I106" s="4">
        <v>95714000</v>
      </c>
      <c r="J106" s="4">
        <v>94506000</v>
      </c>
    </row>
    <row r="107" spans="1:10" ht="16" x14ac:dyDescent="0.2">
      <c r="A107" s="3" t="s">
        <v>107</v>
      </c>
      <c r="B107" s="4">
        <v>20831000</v>
      </c>
      <c r="C107" s="4">
        <v>49637000</v>
      </c>
      <c r="D107" s="4">
        <v>79588000</v>
      </c>
      <c r="E107" s="4">
        <v>398358000</v>
      </c>
      <c r="F107" s="5">
        <v>484829000</v>
      </c>
      <c r="G107" s="4">
        <v>366576000</v>
      </c>
      <c r="H107" s="4">
        <v>398358000</v>
      </c>
      <c r="I107" s="4">
        <v>441984000</v>
      </c>
      <c r="J107" s="4">
        <v>484829000</v>
      </c>
    </row>
    <row r="108" spans="1:10" ht="16" x14ac:dyDescent="0.2">
      <c r="A108" s="3" t="s">
        <v>108</v>
      </c>
      <c r="B108" s="4">
        <v>13654000</v>
      </c>
      <c r="C108" s="4">
        <v>49797000</v>
      </c>
      <c r="D108" s="4">
        <v>118146000</v>
      </c>
      <c r="E108" s="4">
        <v>227050000</v>
      </c>
      <c r="F108" s="5">
        <v>224732000</v>
      </c>
      <c r="G108" s="4">
        <v>231626000</v>
      </c>
      <c r="H108" s="4">
        <v>227050000</v>
      </c>
      <c r="I108" s="4">
        <v>225741000</v>
      </c>
      <c r="J108" s="4">
        <v>224732000</v>
      </c>
    </row>
    <row r="109" spans="1:10" ht="16" x14ac:dyDescent="0.2">
      <c r="A109" s="3" t="s">
        <v>109</v>
      </c>
      <c r="B109" s="4">
        <v>6413000</v>
      </c>
      <c r="C109" s="4">
        <v>7486000</v>
      </c>
      <c r="D109" s="4">
        <v>8183000</v>
      </c>
      <c r="E109" s="4">
        <v>6119000</v>
      </c>
      <c r="F109" s="5">
        <v>5956000</v>
      </c>
      <c r="G109" s="4">
        <v>5118000</v>
      </c>
      <c r="H109" s="4">
        <v>6119000</v>
      </c>
      <c r="I109" s="4">
        <v>6104000</v>
      </c>
      <c r="J109" s="4">
        <v>5956000</v>
      </c>
    </row>
    <row r="110" spans="1:10" ht="16" x14ac:dyDescent="0.2">
      <c r="A110" s="3" t="s">
        <v>110</v>
      </c>
      <c r="B110" s="4" t="s">
        <v>15</v>
      </c>
      <c r="C110" s="4" t="s">
        <v>15</v>
      </c>
      <c r="D110" s="4" t="s">
        <v>15</v>
      </c>
      <c r="E110" s="4" t="s">
        <v>15</v>
      </c>
      <c r="F110" s="5" t="s">
        <v>15</v>
      </c>
      <c r="G110" s="4" t="s">
        <v>15</v>
      </c>
      <c r="H110" s="4" t="s">
        <v>15</v>
      </c>
      <c r="I110" s="4" t="s">
        <v>15</v>
      </c>
      <c r="J110" s="4" t="s">
        <v>15</v>
      </c>
    </row>
    <row r="111" spans="1:10" ht="16" x14ac:dyDescent="0.2">
      <c r="A111" s="3" t="s">
        <v>100</v>
      </c>
      <c r="B111" s="4" t="s">
        <v>15</v>
      </c>
      <c r="C111" s="4" t="s">
        <v>15</v>
      </c>
      <c r="D111" s="4" t="s">
        <v>15</v>
      </c>
      <c r="E111" s="4" t="s">
        <v>15</v>
      </c>
      <c r="F111" s="5" t="s">
        <v>15</v>
      </c>
      <c r="G111" s="4" t="s">
        <v>15</v>
      </c>
      <c r="H111" s="4" t="s">
        <v>15</v>
      </c>
      <c r="I111" s="4" t="s">
        <v>15</v>
      </c>
      <c r="J111" s="4" t="s">
        <v>15</v>
      </c>
    </row>
    <row r="112" spans="1:10" ht="16" x14ac:dyDescent="0.2">
      <c r="A112" s="3" t="s">
        <v>102</v>
      </c>
      <c r="B112" s="4" t="s">
        <v>15</v>
      </c>
      <c r="C112" s="4" t="s">
        <v>15</v>
      </c>
      <c r="D112" s="4" t="s">
        <v>15</v>
      </c>
      <c r="E112" s="4" t="s">
        <v>15</v>
      </c>
      <c r="F112" s="5" t="s">
        <v>15</v>
      </c>
      <c r="G112" s="4" t="s">
        <v>15</v>
      </c>
      <c r="H112" s="4" t="s">
        <v>15</v>
      </c>
      <c r="I112" s="4" t="s">
        <v>15</v>
      </c>
      <c r="J112" s="4" t="s">
        <v>15</v>
      </c>
    </row>
    <row r="113" spans="1:10" ht="16" x14ac:dyDescent="0.2">
      <c r="A113" s="3" t="s">
        <v>101</v>
      </c>
      <c r="B113" s="4" t="s">
        <v>15</v>
      </c>
      <c r="C113" s="4" t="s">
        <v>15</v>
      </c>
      <c r="D113" s="4" t="s">
        <v>15</v>
      </c>
      <c r="E113" s="4" t="s">
        <v>15</v>
      </c>
      <c r="F113" s="5" t="s">
        <v>15</v>
      </c>
      <c r="G113" s="4" t="s">
        <v>15</v>
      </c>
      <c r="H113" s="4" t="s">
        <v>15</v>
      </c>
      <c r="I113" s="4" t="s">
        <v>15</v>
      </c>
      <c r="J113" s="4" t="s">
        <v>15</v>
      </c>
    </row>
    <row r="114" spans="1:10" ht="16" x14ac:dyDescent="0.2">
      <c r="A114" s="3" t="s">
        <v>111</v>
      </c>
      <c r="B114" s="4">
        <v>7241000</v>
      </c>
      <c r="C114" s="4">
        <v>42311000</v>
      </c>
      <c r="D114" s="4">
        <v>109963000</v>
      </c>
      <c r="E114" s="4">
        <v>220931000</v>
      </c>
      <c r="F114" s="5">
        <v>218776000</v>
      </c>
      <c r="G114" s="4">
        <v>226508000</v>
      </c>
      <c r="H114" s="4">
        <v>220931000</v>
      </c>
      <c r="I114" s="4">
        <v>219637000</v>
      </c>
      <c r="J114" s="4">
        <v>218776000</v>
      </c>
    </row>
    <row r="115" spans="1:10" ht="16" x14ac:dyDescent="0.2">
      <c r="A115" s="3" t="s">
        <v>112</v>
      </c>
      <c r="B115" s="4">
        <v>57366000</v>
      </c>
      <c r="C115" s="4">
        <v>123801000</v>
      </c>
      <c r="D115" s="4">
        <v>202483000</v>
      </c>
      <c r="E115" s="4">
        <v>721705000</v>
      </c>
      <c r="F115" s="5">
        <v>804067000</v>
      </c>
      <c r="G115" s="4">
        <v>695081000</v>
      </c>
      <c r="H115" s="4">
        <v>721705000</v>
      </c>
      <c r="I115" s="4">
        <v>763439000</v>
      </c>
      <c r="J115" s="4">
        <v>804067000</v>
      </c>
    </row>
    <row r="116" spans="1:10" ht="16" x14ac:dyDescent="0.2">
      <c r="A116" s="3" t="s">
        <v>113</v>
      </c>
      <c r="B116" s="4">
        <v>90266000</v>
      </c>
      <c r="C116" s="4">
        <v>183669000</v>
      </c>
      <c r="D116" s="4">
        <v>344760000</v>
      </c>
      <c r="E116" s="4">
        <v>934384000</v>
      </c>
      <c r="F116" s="5">
        <v>1098205000</v>
      </c>
      <c r="G116" s="4">
        <v>885455000</v>
      </c>
      <c r="H116" s="4">
        <v>934384000</v>
      </c>
      <c r="I116" s="4">
        <v>1016262000</v>
      </c>
      <c r="J116" s="4">
        <v>1098205000</v>
      </c>
    </row>
    <row r="117" spans="1:10" ht="16" x14ac:dyDescent="0.2">
      <c r="A117" s="3" t="s">
        <v>114</v>
      </c>
      <c r="B117" s="4" t="s">
        <v>15</v>
      </c>
      <c r="C117" s="4" t="s">
        <v>15</v>
      </c>
      <c r="D117" s="4" t="s">
        <v>15</v>
      </c>
      <c r="E117" s="4" t="s">
        <v>15</v>
      </c>
      <c r="F117" s="5" t="s">
        <v>15</v>
      </c>
      <c r="G117" s="4" t="s">
        <v>15</v>
      </c>
      <c r="H117" s="4" t="s">
        <v>15</v>
      </c>
      <c r="I117" s="4" t="s">
        <v>15</v>
      </c>
      <c r="J117" s="4" t="s">
        <v>15</v>
      </c>
    </row>
    <row r="118" spans="1:10" ht="16" x14ac:dyDescent="0.2">
      <c r="A118" s="3" t="s">
        <v>115</v>
      </c>
      <c r="B118" s="4" t="s">
        <v>15</v>
      </c>
      <c r="C118" s="4" t="s">
        <v>15</v>
      </c>
      <c r="D118" s="4">
        <v>107533000</v>
      </c>
      <c r="E118" s="4">
        <v>145615000</v>
      </c>
      <c r="F118" s="5">
        <v>152902000</v>
      </c>
      <c r="G118" s="4">
        <v>141482000</v>
      </c>
      <c r="H118" s="4">
        <v>145615000</v>
      </c>
      <c r="I118" s="4">
        <v>148875000</v>
      </c>
      <c r="J118" s="4">
        <v>152902000</v>
      </c>
    </row>
    <row r="119" spans="1:10" ht="16" x14ac:dyDescent="0.2">
      <c r="A119" s="3" t="s">
        <v>116</v>
      </c>
      <c r="B119" s="4" t="s">
        <v>15</v>
      </c>
      <c r="C119" s="4" t="s">
        <v>15</v>
      </c>
      <c r="D119" s="4">
        <v>2000</v>
      </c>
      <c r="E119" s="4">
        <v>2000</v>
      </c>
      <c r="F119" s="5">
        <v>2000</v>
      </c>
      <c r="G119" s="4">
        <v>2000</v>
      </c>
      <c r="H119" s="4">
        <v>2000</v>
      </c>
      <c r="I119" s="4">
        <v>2000</v>
      </c>
      <c r="J119" s="4">
        <v>2000</v>
      </c>
    </row>
    <row r="120" spans="1:10" ht="16" x14ac:dyDescent="0.2">
      <c r="A120" s="3" t="s">
        <v>117</v>
      </c>
      <c r="B120" s="4" t="s">
        <v>15</v>
      </c>
      <c r="C120" s="4" t="s">
        <v>15</v>
      </c>
      <c r="D120" s="4">
        <v>107531000</v>
      </c>
      <c r="E120" s="4">
        <v>145613000</v>
      </c>
      <c r="F120" s="5">
        <v>152900000</v>
      </c>
      <c r="G120" s="4">
        <v>141480000</v>
      </c>
      <c r="H120" s="4">
        <v>145613000</v>
      </c>
      <c r="I120" s="4">
        <v>148873000</v>
      </c>
      <c r="J120" s="4">
        <v>152900000</v>
      </c>
    </row>
    <row r="121" spans="1:10" ht="16" x14ac:dyDescent="0.2">
      <c r="A121" s="3" t="s">
        <v>118</v>
      </c>
      <c r="B121" s="4" t="s">
        <v>15</v>
      </c>
      <c r="C121" s="4" t="s">
        <v>15</v>
      </c>
      <c r="D121" s="4" t="s">
        <v>15</v>
      </c>
      <c r="E121" s="4" t="s">
        <v>15</v>
      </c>
      <c r="F121" s="5" t="s">
        <v>15</v>
      </c>
      <c r="G121" s="4" t="s">
        <v>15</v>
      </c>
      <c r="H121" s="4" t="s">
        <v>15</v>
      </c>
      <c r="I121" s="4" t="s">
        <v>15</v>
      </c>
      <c r="J121" s="4" t="s">
        <v>15</v>
      </c>
    </row>
    <row r="122" spans="1:10" ht="16" x14ac:dyDescent="0.2">
      <c r="A122" s="3" t="s">
        <v>119</v>
      </c>
      <c r="B122" s="4" t="s">
        <v>15</v>
      </c>
      <c r="C122" s="4" t="s">
        <v>15</v>
      </c>
      <c r="D122" s="4">
        <v>-14035000</v>
      </c>
      <c r="E122" s="4">
        <v>-17310000</v>
      </c>
      <c r="F122" s="5">
        <v>-18400000</v>
      </c>
      <c r="G122" s="4">
        <v>-16647000</v>
      </c>
      <c r="H122" s="4">
        <v>-17310000</v>
      </c>
      <c r="I122" s="4">
        <v>-21152000</v>
      </c>
      <c r="J122" s="4">
        <v>-18400000</v>
      </c>
    </row>
    <row r="123" spans="1:10" ht="16" x14ac:dyDescent="0.2">
      <c r="A123" s="3" t="s">
        <v>120</v>
      </c>
      <c r="B123" s="4" t="s">
        <v>15</v>
      </c>
      <c r="C123" s="4" t="s">
        <v>15</v>
      </c>
      <c r="D123" s="4" t="s">
        <v>15</v>
      </c>
      <c r="E123" s="4">
        <v>813000</v>
      </c>
      <c r="F123" s="5">
        <v>905000</v>
      </c>
      <c r="G123" s="4">
        <v>848000</v>
      </c>
      <c r="H123" s="4">
        <v>813000</v>
      </c>
      <c r="I123" s="4">
        <v>590000</v>
      </c>
      <c r="J123" s="4">
        <v>905000</v>
      </c>
    </row>
    <row r="124" spans="1:10" ht="16" x14ac:dyDescent="0.2">
      <c r="A124" s="3" t="s">
        <v>121</v>
      </c>
      <c r="B124" s="4">
        <v>78015000</v>
      </c>
      <c r="C124" s="4">
        <v>75990000</v>
      </c>
      <c r="D124" s="4">
        <v>93498000</v>
      </c>
      <c r="E124" s="4">
        <v>129118000</v>
      </c>
      <c r="F124" s="5">
        <v>135407000</v>
      </c>
      <c r="G124" s="4">
        <v>125683000</v>
      </c>
      <c r="H124" s="4">
        <v>129118000</v>
      </c>
      <c r="I124" s="4">
        <v>128313000</v>
      </c>
      <c r="J124" s="4">
        <v>135407000</v>
      </c>
    </row>
    <row r="125" spans="1:10" ht="16" x14ac:dyDescent="0.2">
      <c r="A125" s="3" t="s">
        <v>122</v>
      </c>
      <c r="B125" s="4" t="s">
        <v>15</v>
      </c>
      <c r="C125" s="4" t="s">
        <v>15</v>
      </c>
      <c r="D125" s="4">
        <v>116688000</v>
      </c>
      <c r="E125" s="4">
        <v>122858000</v>
      </c>
      <c r="F125" s="5">
        <v>134668000</v>
      </c>
      <c r="G125" s="4">
        <v>118119000</v>
      </c>
      <c r="H125" s="4">
        <v>122858000</v>
      </c>
      <c r="I125" s="4">
        <v>120390000</v>
      </c>
      <c r="J125" s="4">
        <v>134668000</v>
      </c>
    </row>
    <row r="126" spans="1:10" ht="16" x14ac:dyDescent="0.2">
      <c r="A126" s="3" t="s">
        <v>123</v>
      </c>
      <c r="B126" s="4">
        <v>78015000</v>
      </c>
      <c r="C126" s="4">
        <v>75990000</v>
      </c>
      <c r="D126" s="4">
        <v>210186000</v>
      </c>
      <c r="E126" s="4">
        <v>251976000</v>
      </c>
      <c r="F126" s="5">
        <v>270075000</v>
      </c>
      <c r="G126" s="4">
        <v>243802000</v>
      </c>
      <c r="H126" s="4">
        <v>251976000</v>
      </c>
      <c r="I126" s="4">
        <v>248703000</v>
      </c>
      <c r="J126" s="4">
        <v>270075000</v>
      </c>
    </row>
    <row r="127" spans="1:10" ht="16" x14ac:dyDescent="0.2">
      <c r="A127" s="3" t="s">
        <v>124</v>
      </c>
      <c r="B127" s="4">
        <v>168281000</v>
      </c>
      <c r="C127" s="4">
        <v>259659000</v>
      </c>
      <c r="D127" s="4">
        <v>554946000</v>
      </c>
      <c r="E127" s="4">
        <v>1186360000</v>
      </c>
      <c r="F127" s="5">
        <v>1368280000</v>
      </c>
      <c r="G127" s="4">
        <v>1129257000</v>
      </c>
      <c r="H127" s="4">
        <v>1186360000</v>
      </c>
      <c r="I127" s="4">
        <v>1264965000</v>
      </c>
      <c r="J127" s="4">
        <v>1368280000</v>
      </c>
    </row>
    <row r="128" spans="1:10" ht="16" x14ac:dyDescent="0.2">
      <c r="A128" s="28" t="s">
        <v>125</v>
      </c>
      <c r="B128" s="26">
        <v>46767753</v>
      </c>
      <c r="C128" s="26">
        <v>46767753</v>
      </c>
      <c r="D128" s="26">
        <v>49873049</v>
      </c>
      <c r="E128" s="26">
        <v>57955000</v>
      </c>
      <c r="F128" s="27">
        <v>58084542</v>
      </c>
      <c r="G128" s="26">
        <v>57952000</v>
      </c>
      <c r="H128" s="26">
        <v>57955000</v>
      </c>
      <c r="I128" s="26">
        <v>58077000</v>
      </c>
      <c r="J128" s="26">
        <v>58084542</v>
      </c>
    </row>
    <row r="129" spans="1:10" ht="16" x14ac:dyDescent="0.2">
      <c r="A129" s="15" t="s">
        <v>188</v>
      </c>
      <c r="B129" s="20">
        <v>0</v>
      </c>
      <c r="C129" s="20">
        <f>(C128/B128)-1</f>
        <v>0</v>
      </c>
      <c r="D129" s="20">
        <f>(D128/C128)-1</f>
        <v>6.6398229566428046E-2</v>
      </c>
      <c r="E129" s="20">
        <f>(E128/D128)-1</f>
        <v>0.16205046938277223</v>
      </c>
      <c r="F129" s="20">
        <f t="shared" ref="F129:J129" si="6">(F128/E128)-1</f>
        <v>2.2352169786903353E-3</v>
      </c>
      <c r="G129" s="20">
        <f t="shared" si="6"/>
        <v>-2.281880779915646E-3</v>
      </c>
      <c r="H129" s="20">
        <f t="shared" si="6"/>
        <v>5.1766979569212168E-5</v>
      </c>
      <c r="I129" s="20">
        <f t="shared" si="6"/>
        <v>2.1050815287724234E-3</v>
      </c>
      <c r="J129" s="20">
        <f t="shared" si="6"/>
        <v>1.2986207965282048E-4</v>
      </c>
    </row>
    <row r="130" spans="1:10" ht="16" x14ac:dyDescent="0.2">
      <c r="A130" s="3" t="s">
        <v>126</v>
      </c>
      <c r="B130" s="4">
        <v>21872000</v>
      </c>
      <c r="C130" s="4">
        <v>51968000</v>
      </c>
      <c r="D130" s="4">
        <v>82977000</v>
      </c>
      <c r="E130" s="4">
        <v>415646000</v>
      </c>
      <c r="F130" s="5">
        <v>504308000</v>
      </c>
      <c r="G130" s="4">
        <v>383042000</v>
      </c>
      <c r="H130" s="4">
        <v>415646000</v>
      </c>
      <c r="I130" s="4">
        <v>459649000</v>
      </c>
      <c r="J130" s="4">
        <v>504308000</v>
      </c>
    </row>
    <row r="131" spans="1:10" ht="16" x14ac:dyDescent="0.2">
      <c r="A131" s="3" t="s">
        <v>127</v>
      </c>
      <c r="B131" s="4">
        <v>10450000</v>
      </c>
      <c r="C131" s="4">
        <v>11515000</v>
      </c>
      <c r="D131" s="4">
        <v>50450000</v>
      </c>
      <c r="E131" s="4">
        <v>189593000</v>
      </c>
      <c r="F131" s="5">
        <v>255117000</v>
      </c>
      <c r="G131" s="4">
        <v>150672000</v>
      </c>
      <c r="H131" s="4">
        <v>189593000</v>
      </c>
      <c r="I131" s="4">
        <v>235007000</v>
      </c>
      <c r="J131" s="4">
        <v>255117000</v>
      </c>
    </row>
    <row r="132" spans="1:10" ht="16" x14ac:dyDescent="0.2">
      <c r="A132" s="3" t="s">
        <v>128</v>
      </c>
      <c r="B132" s="6">
        <v>13.39</v>
      </c>
      <c r="C132" s="6">
        <v>15.15</v>
      </c>
      <c r="D132" s="4">
        <v>24</v>
      </c>
      <c r="E132" s="6">
        <v>75.239999999999995</v>
      </c>
      <c r="F132" s="7">
        <v>94.46</v>
      </c>
      <c r="G132" s="6">
        <v>61.8</v>
      </c>
      <c r="H132" s="6">
        <v>75.239999999999995</v>
      </c>
      <c r="I132" s="6">
        <v>94.49</v>
      </c>
      <c r="J132" s="6">
        <v>94.46</v>
      </c>
    </row>
    <row r="133" spans="1:10" ht="16" x14ac:dyDescent="0.2">
      <c r="A133" s="3" t="s">
        <v>129</v>
      </c>
      <c r="B133" s="6">
        <v>36.07</v>
      </c>
      <c r="C133" s="6">
        <v>20.23</v>
      </c>
      <c r="D133" s="6">
        <v>34.35</v>
      </c>
      <c r="E133" s="6">
        <v>19.170000000000002</v>
      </c>
      <c r="F133" s="7">
        <v>18.02</v>
      </c>
      <c r="G133" s="6">
        <v>19.34</v>
      </c>
      <c r="H133" s="6">
        <v>19.170000000000002</v>
      </c>
      <c r="I133" s="6">
        <v>17.739999999999998</v>
      </c>
      <c r="J133" s="6">
        <v>18.02</v>
      </c>
    </row>
    <row r="134" spans="1:10" ht="16" x14ac:dyDescent="0.2">
      <c r="A134" s="3" t="s">
        <v>130</v>
      </c>
      <c r="B134" s="6">
        <v>1.1200000000000001</v>
      </c>
      <c r="C134" s="6">
        <v>1.05</v>
      </c>
      <c r="D134" s="6">
        <v>0.43</v>
      </c>
      <c r="E134" s="6">
        <v>0.39</v>
      </c>
      <c r="F134" s="7">
        <v>0.32</v>
      </c>
      <c r="G134" s="6">
        <v>0.49</v>
      </c>
      <c r="H134" s="6">
        <v>0.39</v>
      </c>
      <c r="I134" s="6">
        <v>0.32</v>
      </c>
      <c r="J134" s="6">
        <v>0.32</v>
      </c>
    </row>
    <row r="135" spans="1:10" ht="16" x14ac:dyDescent="0.2">
      <c r="A135" s="3" t="s">
        <v>131</v>
      </c>
      <c r="B135" s="4" t="s">
        <v>15</v>
      </c>
      <c r="C135" s="6">
        <v>7.99</v>
      </c>
      <c r="D135" s="6">
        <v>9.56</v>
      </c>
      <c r="E135" s="6">
        <v>12.78</v>
      </c>
      <c r="F135" s="7">
        <v>15.08</v>
      </c>
      <c r="G135" s="6">
        <v>7.6</v>
      </c>
      <c r="H135" s="6">
        <v>12.78</v>
      </c>
      <c r="I135" s="6">
        <v>13.18</v>
      </c>
      <c r="J135" s="6">
        <v>15.08</v>
      </c>
    </row>
    <row r="136" spans="1:10" ht="16" x14ac:dyDescent="0.2">
      <c r="A136" s="3" t="s">
        <v>132</v>
      </c>
      <c r="B136" s="4" t="s">
        <v>15</v>
      </c>
      <c r="C136" s="4" t="s">
        <v>15</v>
      </c>
      <c r="D136" s="4">
        <v>19000</v>
      </c>
      <c r="E136" s="4">
        <v>22000</v>
      </c>
      <c r="F136" s="5">
        <v>22000</v>
      </c>
      <c r="G136" s="4">
        <v>19000</v>
      </c>
      <c r="H136" s="4">
        <v>22000</v>
      </c>
      <c r="I136" s="4">
        <v>22000</v>
      </c>
      <c r="J136" s="4">
        <v>22000</v>
      </c>
    </row>
    <row r="138" spans="1:10" ht="16" x14ac:dyDescent="0.2">
      <c r="A138" s="2" t="s">
        <v>15</v>
      </c>
      <c r="B138" s="2" t="s">
        <v>0</v>
      </c>
      <c r="C138" s="2" t="s">
        <v>1</v>
      </c>
      <c r="D138" s="2" t="s">
        <v>2</v>
      </c>
      <c r="E138" s="2" t="s">
        <v>3</v>
      </c>
      <c r="F138" s="2" t="s">
        <v>4</v>
      </c>
      <c r="G138" s="2" t="s">
        <v>5</v>
      </c>
      <c r="H138" s="2" t="s">
        <v>6</v>
      </c>
      <c r="I138" s="2" t="s">
        <v>7</v>
      </c>
      <c r="J138" s="2" t="s">
        <v>8</v>
      </c>
    </row>
    <row r="139" spans="1:10" ht="16" x14ac:dyDescent="0.2">
      <c r="A139" s="3" t="s">
        <v>133</v>
      </c>
      <c r="B139" s="4">
        <v>28386000</v>
      </c>
      <c r="C139" s="4">
        <v>5725000</v>
      </c>
      <c r="D139" s="4">
        <v>-119977000</v>
      </c>
      <c r="E139" s="4">
        <v>-19253000</v>
      </c>
      <c r="F139" s="5">
        <v>-903000</v>
      </c>
      <c r="G139" s="4">
        <v>1594000</v>
      </c>
      <c r="H139" s="4">
        <v>-2817000</v>
      </c>
      <c r="I139" s="4">
        <v>-9391000</v>
      </c>
      <c r="J139" s="4">
        <v>9711000</v>
      </c>
    </row>
    <row r="140" spans="1:10" ht="16" x14ac:dyDescent="0.2">
      <c r="A140" s="3" t="s">
        <v>134</v>
      </c>
      <c r="B140" s="4">
        <v>9670000</v>
      </c>
      <c r="C140" s="4">
        <v>15537000</v>
      </c>
      <c r="D140" s="4">
        <v>25217000</v>
      </c>
      <c r="E140" s="4">
        <v>44728000</v>
      </c>
      <c r="F140" s="5">
        <v>56302000</v>
      </c>
      <c r="G140" s="4">
        <v>11810000</v>
      </c>
      <c r="H140" s="4">
        <v>13197000</v>
      </c>
      <c r="I140" s="4">
        <v>14779000</v>
      </c>
      <c r="J140" s="4">
        <v>16516000</v>
      </c>
    </row>
    <row r="141" spans="1:10" ht="16" x14ac:dyDescent="0.2">
      <c r="A141" s="3" t="s">
        <v>135</v>
      </c>
      <c r="B141" s="4">
        <v>7088000</v>
      </c>
      <c r="C141" s="4">
        <v>35660000</v>
      </c>
      <c r="D141" s="4">
        <v>157276000</v>
      </c>
      <c r="E141" s="4">
        <v>49539000</v>
      </c>
      <c r="F141" s="5">
        <v>51233000</v>
      </c>
      <c r="G141" s="4">
        <v>11531000</v>
      </c>
      <c r="H141" s="4">
        <v>12848000</v>
      </c>
      <c r="I141" s="4">
        <v>12670000</v>
      </c>
      <c r="J141" s="4">
        <v>14184000</v>
      </c>
    </row>
    <row r="142" spans="1:10" ht="16" x14ac:dyDescent="0.2">
      <c r="A142" s="28" t="s">
        <v>136</v>
      </c>
      <c r="B142" s="26">
        <v>6758000</v>
      </c>
      <c r="C142" s="26">
        <v>35087000</v>
      </c>
      <c r="D142" s="26">
        <v>157716000</v>
      </c>
      <c r="E142" s="26">
        <v>41657000</v>
      </c>
      <c r="F142" s="27">
        <v>40630000</v>
      </c>
      <c r="G142" s="26">
        <v>10649000</v>
      </c>
      <c r="H142" s="26">
        <v>10662000</v>
      </c>
      <c r="I142" s="26">
        <v>9170000</v>
      </c>
      <c r="J142" s="26">
        <v>10149000</v>
      </c>
    </row>
    <row r="143" spans="1:10" ht="16" x14ac:dyDescent="0.2">
      <c r="A143" s="12" t="s">
        <v>189</v>
      </c>
      <c r="B143" s="20">
        <f t="shared" ref="B143:J143" si="7">B142/B2</f>
        <v>2.8351120955832997E-2</v>
      </c>
      <c r="C143" s="20">
        <f t="shared" si="7"/>
        <v>0.10716434594838935</v>
      </c>
      <c r="D143" s="20">
        <f t="shared" si="7"/>
        <v>0.31677767154873904</v>
      </c>
      <c r="E143" s="20">
        <f t="shared" si="7"/>
        <v>5.6368502811862321E-2</v>
      </c>
      <c r="F143" s="20">
        <f t="shared" si="7"/>
        <v>4.7934159252779246E-2</v>
      </c>
      <c r="G143" s="20">
        <f t="shared" si="7"/>
        <v>5.3607385928879224E-2</v>
      </c>
      <c r="H143" s="20">
        <f t="shared" si="7"/>
        <v>5.2827421504555883E-2</v>
      </c>
      <c r="I143" s="20">
        <f t="shared" si="7"/>
        <v>4.6485220538660797E-2</v>
      </c>
      <c r="J143" s="20">
        <f t="shared" si="7"/>
        <v>4.0615657978461575E-2</v>
      </c>
    </row>
    <row r="144" spans="1:10" ht="16" x14ac:dyDescent="0.2">
      <c r="A144" s="3" t="s">
        <v>137</v>
      </c>
      <c r="B144" s="4" t="s">
        <v>15</v>
      </c>
      <c r="C144" s="4" t="s">
        <v>15</v>
      </c>
      <c r="D144" s="4">
        <v>-2663000</v>
      </c>
      <c r="E144" s="4">
        <v>1078000</v>
      </c>
      <c r="F144" s="5">
        <v>5137000</v>
      </c>
      <c r="G144" s="4">
        <v>-3762000</v>
      </c>
      <c r="H144" s="4">
        <v>4835000</v>
      </c>
      <c r="I144" s="4">
        <v>2146000</v>
      </c>
      <c r="J144" s="4">
        <v>1918000</v>
      </c>
    </row>
    <row r="145" spans="1:10" ht="16" x14ac:dyDescent="0.2">
      <c r="A145" s="3" t="s">
        <v>138</v>
      </c>
      <c r="B145" s="4" t="s">
        <v>15</v>
      </c>
      <c r="C145" s="4" t="s">
        <v>15</v>
      </c>
      <c r="D145" s="4" t="s">
        <v>15</v>
      </c>
      <c r="E145" s="4" t="s">
        <v>15</v>
      </c>
      <c r="F145" s="5" t="s">
        <v>15</v>
      </c>
      <c r="G145" s="4" t="s">
        <v>15</v>
      </c>
      <c r="H145" s="4" t="s">
        <v>15</v>
      </c>
      <c r="I145" s="4" t="s">
        <v>15</v>
      </c>
      <c r="J145" s="4" t="s">
        <v>15</v>
      </c>
    </row>
    <row r="146" spans="1:10" ht="16" x14ac:dyDescent="0.2">
      <c r="A146" s="3" t="s">
        <v>139</v>
      </c>
      <c r="B146" s="4">
        <v>330000</v>
      </c>
      <c r="C146" s="4">
        <v>573000</v>
      </c>
      <c r="D146" s="4">
        <v>2223000</v>
      </c>
      <c r="E146" s="4">
        <v>6804000</v>
      </c>
      <c r="F146" s="5">
        <v>5466000</v>
      </c>
      <c r="G146" s="4">
        <v>4644000</v>
      </c>
      <c r="H146" s="4">
        <v>-2649000</v>
      </c>
      <c r="I146" s="4">
        <v>1354000</v>
      </c>
      <c r="J146" s="4">
        <v>2117000</v>
      </c>
    </row>
    <row r="147" spans="1:10" ht="16" x14ac:dyDescent="0.2">
      <c r="A147" s="3" t="s">
        <v>140</v>
      </c>
      <c r="B147" s="4">
        <v>11558000</v>
      </c>
      <c r="C147" s="4">
        <v>-3373000</v>
      </c>
      <c r="D147" s="4">
        <v>17859000</v>
      </c>
      <c r="E147" s="4">
        <v>-15131000</v>
      </c>
      <c r="F147" s="5">
        <v>-17619000</v>
      </c>
      <c r="G147" s="4">
        <v>1120000</v>
      </c>
      <c r="H147" s="4">
        <v>-6113000</v>
      </c>
      <c r="I147" s="4">
        <v>-14981000</v>
      </c>
      <c r="J147" s="4">
        <v>2355000</v>
      </c>
    </row>
    <row r="148" spans="1:10" ht="16" x14ac:dyDescent="0.2">
      <c r="A148" s="3" t="s">
        <v>141</v>
      </c>
      <c r="B148" s="4">
        <v>-612000</v>
      </c>
      <c r="C148" s="4">
        <v>-4218000</v>
      </c>
      <c r="D148" s="4">
        <v>193000</v>
      </c>
      <c r="E148" s="4">
        <v>-1322000</v>
      </c>
      <c r="F148" s="5">
        <v>4691000</v>
      </c>
      <c r="G148" s="4">
        <v>-345000</v>
      </c>
      <c r="H148" s="4">
        <v>2449000</v>
      </c>
      <c r="I148" s="4">
        <v>3188000</v>
      </c>
      <c r="J148" s="4">
        <v>-601000</v>
      </c>
    </row>
    <row r="149" spans="1:10" ht="16" x14ac:dyDescent="0.2">
      <c r="A149" s="3" t="s">
        <v>142</v>
      </c>
      <c r="B149" s="4">
        <v>222000</v>
      </c>
      <c r="C149" s="4">
        <v>-4587000</v>
      </c>
      <c r="D149" s="4">
        <v>-7668000</v>
      </c>
      <c r="E149" s="4">
        <v>-15817000</v>
      </c>
      <c r="F149" s="5">
        <v>-14754000</v>
      </c>
      <c r="G149" s="4">
        <v>-859000</v>
      </c>
      <c r="H149" s="4">
        <v>-5516000</v>
      </c>
      <c r="I149" s="4">
        <v>-4728000</v>
      </c>
      <c r="J149" s="4">
        <v>-3651000</v>
      </c>
    </row>
    <row r="150" spans="1:10" ht="16" x14ac:dyDescent="0.2">
      <c r="A150" s="3" t="s">
        <v>143</v>
      </c>
      <c r="B150" s="4">
        <v>2220000</v>
      </c>
      <c r="C150" s="4">
        <v>-1284000</v>
      </c>
      <c r="D150" s="4">
        <v>-3761000</v>
      </c>
      <c r="E150" s="4">
        <v>-695000</v>
      </c>
      <c r="F150" s="5">
        <v>-5549000</v>
      </c>
      <c r="G150" s="4">
        <v>-3252000</v>
      </c>
      <c r="H150" s="4">
        <v>588000</v>
      </c>
      <c r="I150" s="4">
        <v>-3450000</v>
      </c>
      <c r="J150" s="4">
        <v>565000</v>
      </c>
    </row>
    <row r="151" spans="1:10" ht="16" x14ac:dyDescent="0.2">
      <c r="A151" s="3" t="s">
        <v>144</v>
      </c>
      <c r="B151" s="4">
        <v>6471000</v>
      </c>
      <c r="C151" s="4">
        <v>2009000</v>
      </c>
      <c r="D151" s="4">
        <v>12127000</v>
      </c>
      <c r="E151" s="4">
        <v>7207000</v>
      </c>
      <c r="F151" s="5">
        <v>11961000</v>
      </c>
      <c r="G151" s="4">
        <v>5414000</v>
      </c>
      <c r="H151" s="4">
        <v>1032000</v>
      </c>
      <c r="I151" s="4">
        <v>-2970000</v>
      </c>
      <c r="J151" s="4">
        <v>8485000</v>
      </c>
    </row>
    <row r="152" spans="1:10" ht="16" x14ac:dyDescent="0.2">
      <c r="A152" s="3" t="s">
        <v>145</v>
      </c>
      <c r="B152" s="4">
        <v>3257000</v>
      </c>
      <c r="C152" s="4">
        <v>4707000</v>
      </c>
      <c r="D152" s="4">
        <v>16968000</v>
      </c>
      <c r="E152" s="4">
        <v>-4504000</v>
      </c>
      <c r="F152" s="5">
        <v>-13968000</v>
      </c>
      <c r="G152" s="4">
        <v>162000</v>
      </c>
      <c r="H152" s="4">
        <v>-4666000</v>
      </c>
      <c r="I152" s="4">
        <v>-7021000</v>
      </c>
      <c r="J152" s="4">
        <v>-2443000</v>
      </c>
    </row>
    <row r="153" spans="1:10" ht="16" x14ac:dyDescent="0.2">
      <c r="A153" s="3" t="s">
        <v>146</v>
      </c>
      <c r="B153" s="4" t="s">
        <v>15</v>
      </c>
      <c r="C153" s="4" t="s">
        <v>15</v>
      </c>
      <c r="D153" s="4" t="s">
        <v>15</v>
      </c>
      <c r="E153" s="4" t="s">
        <v>15</v>
      </c>
      <c r="F153" s="5" t="s">
        <v>15</v>
      </c>
      <c r="G153" s="4" t="s">
        <v>15</v>
      </c>
      <c r="H153" s="4" t="s">
        <v>15</v>
      </c>
      <c r="I153" s="4" t="s">
        <v>15</v>
      </c>
      <c r="J153" s="4" t="s">
        <v>15</v>
      </c>
    </row>
    <row r="154" spans="1:10" ht="16" x14ac:dyDescent="0.2">
      <c r="A154" s="3" t="s">
        <v>147</v>
      </c>
      <c r="B154" s="4">
        <v>56702000</v>
      </c>
      <c r="C154" s="4">
        <v>53549000</v>
      </c>
      <c r="D154" s="4">
        <v>80375000</v>
      </c>
      <c r="E154" s="4">
        <v>59883000</v>
      </c>
      <c r="F154" s="5">
        <v>89013000</v>
      </c>
      <c r="G154" s="4">
        <v>26055000</v>
      </c>
      <c r="H154" s="4">
        <v>17115000</v>
      </c>
      <c r="I154" s="4">
        <v>3077000</v>
      </c>
      <c r="J154" s="4">
        <v>42766000</v>
      </c>
    </row>
    <row r="155" spans="1:10" ht="16" x14ac:dyDescent="0.2">
      <c r="A155" s="3" t="s">
        <v>148</v>
      </c>
      <c r="B155" s="4" t="s">
        <v>15</v>
      </c>
      <c r="C155" s="4" t="s">
        <v>15</v>
      </c>
      <c r="D155" s="4" t="s">
        <v>15</v>
      </c>
      <c r="E155" s="4" t="s">
        <v>15</v>
      </c>
      <c r="F155" s="5" t="s">
        <v>15</v>
      </c>
      <c r="G155" s="4" t="s">
        <v>15</v>
      </c>
      <c r="H155" s="4" t="s">
        <v>15</v>
      </c>
      <c r="I155" s="4" t="s">
        <v>15</v>
      </c>
      <c r="J155" s="4" t="s">
        <v>15</v>
      </c>
    </row>
    <row r="156" spans="1:10" ht="16" x14ac:dyDescent="0.2">
      <c r="A156" s="3" t="s">
        <v>149</v>
      </c>
      <c r="B156" s="4">
        <v>47000</v>
      </c>
      <c r="C156" s="4">
        <v>99000</v>
      </c>
      <c r="D156" s="4">
        <v>2742000</v>
      </c>
      <c r="E156" s="4">
        <v>1359000</v>
      </c>
      <c r="F156" s="5">
        <v>334000</v>
      </c>
      <c r="G156" s="4" t="s">
        <v>15</v>
      </c>
      <c r="H156" s="4">
        <v>85000</v>
      </c>
      <c r="I156" s="4">
        <v>240000</v>
      </c>
      <c r="J156" s="4">
        <v>9000</v>
      </c>
    </row>
    <row r="157" spans="1:10" ht="16" x14ac:dyDescent="0.2">
      <c r="A157" s="3" t="s">
        <v>150</v>
      </c>
      <c r="B157" s="4">
        <v>47000</v>
      </c>
      <c r="C157" s="4">
        <v>99000</v>
      </c>
      <c r="D157" s="4">
        <v>2742000</v>
      </c>
      <c r="E157" s="4">
        <v>1359000</v>
      </c>
      <c r="F157" s="5">
        <v>334000</v>
      </c>
      <c r="G157" s="4" t="s">
        <v>15</v>
      </c>
      <c r="H157" s="4">
        <v>85000</v>
      </c>
      <c r="I157" s="4">
        <v>240000</v>
      </c>
      <c r="J157" s="4">
        <v>9000</v>
      </c>
    </row>
    <row r="158" spans="1:10" ht="16" x14ac:dyDescent="0.2">
      <c r="A158" s="3" t="s">
        <v>151</v>
      </c>
      <c r="B158" s="4" t="s">
        <v>15</v>
      </c>
      <c r="C158" s="4" t="s">
        <v>15</v>
      </c>
      <c r="D158" s="4" t="s">
        <v>15</v>
      </c>
      <c r="E158" s="4" t="s">
        <v>15</v>
      </c>
      <c r="F158" s="5" t="s">
        <v>15</v>
      </c>
      <c r="G158" s="4" t="s">
        <v>15</v>
      </c>
      <c r="H158" s="4" t="s">
        <v>15</v>
      </c>
      <c r="I158" s="4" t="s">
        <v>15</v>
      </c>
      <c r="J158" s="4" t="s">
        <v>15</v>
      </c>
    </row>
    <row r="159" spans="1:10" ht="16" x14ac:dyDescent="0.2">
      <c r="A159" s="3" t="s">
        <v>152</v>
      </c>
      <c r="B159" s="4">
        <v>-39465000</v>
      </c>
      <c r="C159" s="4">
        <v>-40575000</v>
      </c>
      <c r="D159" s="4">
        <v>-118444000</v>
      </c>
      <c r="E159" s="4">
        <v>-187880000</v>
      </c>
      <c r="F159" s="5">
        <v>-206331000</v>
      </c>
      <c r="G159" s="4">
        <v>-50778000</v>
      </c>
      <c r="H159" s="4">
        <v>-53246000</v>
      </c>
      <c r="I159" s="4">
        <v>-43283000</v>
      </c>
      <c r="J159" s="4">
        <v>-59024000</v>
      </c>
    </row>
    <row r="160" spans="1:10" ht="16" x14ac:dyDescent="0.2">
      <c r="A160" s="3" t="s">
        <v>153</v>
      </c>
      <c r="B160" s="4">
        <v>-39465000</v>
      </c>
      <c r="C160" s="4">
        <v>-40575000</v>
      </c>
      <c r="D160" s="4">
        <v>-118444000</v>
      </c>
      <c r="E160" s="4">
        <v>-187880000</v>
      </c>
      <c r="F160" s="5">
        <v>-206331000</v>
      </c>
      <c r="G160" s="4">
        <v>-50778000</v>
      </c>
      <c r="H160" s="4">
        <v>-53246000</v>
      </c>
      <c r="I160" s="4">
        <v>-43283000</v>
      </c>
      <c r="J160" s="4">
        <v>-59024000</v>
      </c>
    </row>
    <row r="161" spans="1:10" ht="16" x14ac:dyDescent="0.2">
      <c r="A161" s="3" t="s">
        <v>154</v>
      </c>
      <c r="B161" s="4" t="s">
        <v>15</v>
      </c>
      <c r="C161" s="4" t="s">
        <v>15</v>
      </c>
      <c r="D161" s="4" t="s">
        <v>15</v>
      </c>
      <c r="E161" s="4" t="s">
        <v>15</v>
      </c>
      <c r="F161" s="5" t="s">
        <v>15</v>
      </c>
      <c r="G161" s="4" t="s">
        <v>15</v>
      </c>
      <c r="H161" s="4" t="s">
        <v>15</v>
      </c>
      <c r="I161" s="4" t="s">
        <v>15</v>
      </c>
      <c r="J161" s="4" t="s">
        <v>15</v>
      </c>
    </row>
    <row r="162" spans="1:10" ht="16" x14ac:dyDescent="0.2">
      <c r="A162" s="3" t="s">
        <v>155</v>
      </c>
      <c r="B162" s="4" t="s">
        <v>15</v>
      </c>
      <c r="C162" s="4" t="s">
        <v>15</v>
      </c>
      <c r="D162" s="4" t="s">
        <v>15</v>
      </c>
      <c r="E162" s="4" t="s">
        <v>15</v>
      </c>
      <c r="F162" s="5" t="s">
        <v>15</v>
      </c>
      <c r="G162" s="4" t="s">
        <v>15</v>
      </c>
      <c r="H162" s="4" t="s">
        <v>15</v>
      </c>
      <c r="I162" s="4" t="s">
        <v>15</v>
      </c>
      <c r="J162" s="4" t="s">
        <v>15</v>
      </c>
    </row>
    <row r="163" spans="1:10" ht="16" x14ac:dyDescent="0.2">
      <c r="A163" s="3" t="s">
        <v>156</v>
      </c>
      <c r="B163" s="4" t="s">
        <v>15</v>
      </c>
      <c r="C163" s="4" t="s">
        <v>15</v>
      </c>
      <c r="D163" s="4" t="s">
        <v>15</v>
      </c>
      <c r="E163" s="4" t="s">
        <v>15</v>
      </c>
      <c r="F163" s="5" t="s">
        <v>15</v>
      </c>
      <c r="G163" s="4" t="s">
        <v>15</v>
      </c>
      <c r="H163" s="4" t="s">
        <v>15</v>
      </c>
      <c r="I163" s="4" t="s">
        <v>15</v>
      </c>
      <c r="J163" s="4" t="s">
        <v>15</v>
      </c>
    </row>
    <row r="164" spans="1:10" ht="16" x14ac:dyDescent="0.2">
      <c r="A164" s="3" t="s">
        <v>157</v>
      </c>
      <c r="B164" s="4" t="s">
        <v>15</v>
      </c>
      <c r="C164" s="4" t="s">
        <v>15</v>
      </c>
      <c r="D164" s="4" t="s">
        <v>15</v>
      </c>
      <c r="E164" s="4" t="s">
        <v>15</v>
      </c>
      <c r="F164" s="5" t="s">
        <v>15</v>
      </c>
      <c r="G164" s="4" t="s">
        <v>15</v>
      </c>
      <c r="H164" s="4" t="s">
        <v>15</v>
      </c>
      <c r="I164" s="4" t="s">
        <v>15</v>
      </c>
      <c r="J164" s="4" t="s">
        <v>15</v>
      </c>
    </row>
    <row r="165" spans="1:10" ht="16" x14ac:dyDescent="0.2">
      <c r="A165" s="3" t="s">
        <v>158</v>
      </c>
      <c r="B165" s="4">
        <v>-530000</v>
      </c>
      <c r="C165" s="4">
        <v>-5094000</v>
      </c>
      <c r="D165" s="4">
        <v>-5387000</v>
      </c>
      <c r="E165" s="4">
        <v>-6051000</v>
      </c>
      <c r="F165" s="5" t="s">
        <v>15</v>
      </c>
      <c r="G165" s="4" t="s">
        <v>15</v>
      </c>
      <c r="H165" s="4" t="s">
        <v>15</v>
      </c>
      <c r="I165" s="4" t="s">
        <v>15</v>
      </c>
      <c r="J165" s="4" t="s">
        <v>15</v>
      </c>
    </row>
    <row r="166" spans="1:10" ht="16" x14ac:dyDescent="0.2">
      <c r="A166" s="3" t="s">
        <v>159</v>
      </c>
      <c r="B166" s="4" t="s">
        <v>15</v>
      </c>
      <c r="C166" s="4" t="s">
        <v>15</v>
      </c>
      <c r="D166" s="4" t="s">
        <v>15</v>
      </c>
      <c r="E166" s="4" t="s">
        <v>15</v>
      </c>
      <c r="F166" s="5" t="s">
        <v>15</v>
      </c>
      <c r="G166" s="4" t="s">
        <v>15</v>
      </c>
      <c r="H166" s="4" t="s">
        <v>15</v>
      </c>
      <c r="I166" s="4" t="s">
        <v>15</v>
      </c>
      <c r="J166" s="4" t="s">
        <v>15</v>
      </c>
    </row>
    <row r="167" spans="1:10" ht="16" x14ac:dyDescent="0.2">
      <c r="A167" s="3" t="s">
        <v>160</v>
      </c>
      <c r="B167" s="4">
        <v>-530000</v>
      </c>
      <c r="C167" s="4">
        <v>-5094000</v>
      </c>
      <c r="D167" s="4">
        <v>-5387000</v>
      </c>
      <c r="E167" s="4">
        <v>-6051000</v>
      </c>
      <c r="F167" s="5" t="s">
        <v>15</v>
      </c>
      <c r="G167" s="4" t="s">
        <v>15</v>
      </c>
      <c r="H167" s="4" t="s">
        <v>15</v>
      </c>
      <c r="I167" s="4" t="s">
        <v>15</v>
      </c>
      <c r="J167" s="4" t="s">
        <v>15</v>
      </c>
    </row>
    <row r="168" spans="1:10" ht="16" x14ac:dyDescent="0.2">
      <c r="A168" s="3" t="s">
        <v>161</v>
      </c>
      <c r="B168" s="4" t="s">
        <v>15</v>
      </c>
      <c r="C168" s="4" t="s">
        <v>15</v>
      </c>
      <c r="D168" s="4" t="s">
        <v>15</v>
      </c>
      <c r="E168" s="4" t="s">
        <v>15</v>
      </c>
      <c r="F168" s="5" t="s">
        <v>15</v>
      </c>
      <c r="G168" s="4" t="s">
        <v>15</v>
      </c>
      <c r="H168" s="4" t="s">
        <v>15</v>
      </c>
      <c r="I168" s="4" t="s">
        <v>15</v>
      </c>
      <c r="J168" s="4" t="s">
        <v>15</v>
      </c>
    </row>
    <row r="169" spans="1:10" ht="16" x14ac:dyDescent="0.2">
      <c r="A169" s="3" t="s">
        <v>162</v>
      </c>
      <c r="B169" s="4" t="s">
        <v>15</v>
      </c>
      <c r="C169" s="4" t="s">
        <v>15</v>
      </c>
      <c r="D169" s="4" t="s">
        <v>15</v>
      </c>
      <c r="E169" s="4" t="s">
        <v>15</v>
      </c>
      <c r="F169" s="5" t="s">
        <v>15</v>
      </c>
      <c r="G169" s="4" t="s">
        <v>15</v>
      </c>
      <c r="H169" s="4" t="s">
        <v>15</v>
      </c>
      <c r="I169" s="4" t="s">
        <v>15</v>
      </c>
      <c r="J169" s="4" t="s">
        <v>15</v>
      </c>
    </row>
    <row r="170" spans="1:10" ht="16" x14ac:dyDescent="0.2">
      <c r="A170" s="3" t="s">
        <v>146</v>
      </c>
      <c r="B170" s="4" t="s">
        <v>15</v>
      </c>
      <c r="C170" s="4" t="s">
        <v>15</v>
      </c>
      <c r="D170" s="4" t="s">
        <v>15</v>
      </c>
      <c r="E170" s="4" t="s">
        <v>15</v>
      </c>
      <c r="F170" s="5" t="s">
        <v>15</v>
      </c>
      <c r="G170" s="4" t="s">
        <v>15</v>
      </c>
      <c r="H170" s="4" t="s">
        <v>15</v>
      </c>
      <c r="I170" s="4" t="s">
        <v>15</v>
      </c>
      <c r="J170" s="4" t="s">
        <v>15</v>
      </c>
    </row>
    <row r="171" spans="1:10" ht="16" x14ac:dyDescent="0.2">
      <c r="A171" s="3" t="s">
        <v>163</v>
      </c>
      <c r="B171" s="4">
        <v>-39948000</v>
      </c>
      <c r="C171" s="4">
        <v>-45570000</v>
      </c>
      <c r="D171" s="4">
        <v>-121089000</v>
      </c>
      <c r="E171" s="4">
        <v>-192572000</v>
      </c>
      <c r="F171" s="5">
        <v>-205997000</v>
      </c>
      <c r="G171" s="4">
        <v>-50778000</v>
      </c>
      <c r="H171" s="4">
        <v>-53161000</v>
      </c>
      <c r="I171" s="4">
        <v>-43043000</v>
      </c>
      <c r="J171" s="4">
        <v>-59015000</v>
      </c>
    </row>
    <row r="172" spans="1:10" ht="16" x14ac:dyDescent="0.2">
      <c r="A172" s="3" t="s">
        <v>164</v>
      </c>
      <c r="B172" s="4">
        <v>-6625000</v>
      </c>
      <c r="C172" s="4">
        <v>-7750000</v>
      </c>
      <c r="D172" s="4">
        <v>-213308000</v>
      </c>
      <c r="E172" s="4" t="s">
        <v>15</v>
      </c>
      <c r="F172" s="5">
        <v>0</v>
      </c>
      <c r="G172" s="4" t="s">
        <v>15</v>
      </c>
      <c r="H172" s="4" t="s">
        <v>15</v>
      </c>
      <c r="I172" s="4" t="s">
        <v>15</v>
      </c>
      <c r="J172" s="4" t="s">
        <v>15</v>
      </c>
    </row>
    <row r="173" spans="1:10" ht="16" x14ac:dyDescent="0.2">
      <c r="A173" s="3" t="s">
        <v>165</v>
      </c>
      <c r="B173" s="4">
        <v>-6055000</v>
      </c>
      <c r="C173" s="4">
        <v>15827000</v>
      </c>
      <c r="D173" s="4">
        <v>21237000</v>
      </c>
      <c r="E173" s="4">
        <v>141260000</v>
      </c>
      <c r="F173" s="5">
        <v>121304000</v>
      </c>
      <c r="G173" s="4">
        <v>37997000</v>
      </c>
      <c r="H173" s="4">
        <v>21657000</v>
      </c>
      <c r="I173" s="4">
        <v>35980000</v>
      </c>
      <c r="J173" s="4">
        <v>25670000</v>
      </c>
    </row>
    <row r="174" spans="1:10" ht="16" x14ac:dyDescent="0.2">
      <c r="A174" s="3" t="s">
        <v>166</v>
      </c>
      <c r="B174" s="4" t="s">
        <v>15</v>
      </c>
      <c r="C174" s="4">
        <v>45250000</v>
      </c>
      <c r="D174" s="4">
        <v>266484000</v>
      </c>
      <c r="E174" s="4">
        <v>159080000</v>
      </c>
      <c r="F174" s="5">
        <v>145000000</v>
      </c>
      <c r="G174" s="4">
        <v>40000000</v>
      </c>
      <c r="H174" s="4">
        <v>35000000</v>
      </c>
      <c r="I174" s="4">
        <v>40000000</v>
      </c>
      <c r="J174" s="4">
        <v>30000000</v>
      </c>
    </row>
    <row r="175" spans="1:10" ht="16" x14ac:dyDescent="0.2">
      <c r="A175" s="3" t="s">
        <v>167</v>
      </c>
      <c r="B175" s="4">
        <v>-6055000</v>
      </c>
      <c r="C175" s="4">
        <v>-29423000</v>
      </c>
      <c r="D175" s="4">
        <v>-245247000</v>
      </c>
      <c r="E175" s="4">
        <v>-17820000</v>
      </c>
      <c r="F175" s="5">
        <v>-23696000</v>
      </c>
      <c r="G175" s="4">
        <v>-2003000</v>
      </c>
      <c r="H175" s="4">
        <v>-13343000</v>
      </c>
      <c r="I175" s="4">
        <v>-4020000</v>
      </c>
      <c r="J175" s="4">
        <v>-4330000</v>
      </c>
    </row>
    <row r="176" spans="1:10" ht="16" x14ac:dyDescent="0.2">
      <c r="A176" s="3" t="s">
        <v>168</v>
      </c>
      <c r="B176" s="4" t="s">
        <v>15</v>
      </c>
      <c r="C176" s="4" t="s">
        <v>15</v>
      </c>
      <c r="D176" s="4">
        <v>237194000</v>
      </c>
      <c r="E176" s="4" t="s">
        <v>15</v>
      </c>
      <c r="F176" s="5" t="s">
        <v>15</v>
      </c>
      <c r="G176" s="4" t="s">
        <v>15</v>
      </c>
      <c r="H176" s="4" t="s">
        <v>15</v>
      </c>
      <c r="I176" s="4" t="s">
        <v>15</v>
      </c>
      <c r="J176" s="4" t="s">
        <v>15</v>
      </c>
    </row>
    <row r="177" spans="1:10" ht="16" x14ac:dyDescent="0.2">
      <c r="A177" s="3" t="s">
        <v>169</v>
      </c>
      <c r="B177" s="4" t="s">
        <v>15</v>
      </c>
      <c r="C177" s="4" t="s">
        <v>15</v>
      </c>
      <c r="D177" s="4">
        <v>524858000</v>
      </c>
      <c r="E177" s="4" t="s">
        <v>15</v>
      </c>
      <c r="F177" s="5" t="s">
        <v>15</v>
      </c>
      <c r="G177" s="4" t="s">
        <v>15</v>
      </c>
      <c r="H177" s="4" t="s">
        <v>15</v>
      </c>
      <c r="I177" s="4" t="s">
        <v>15</v>
      </c>
      <c r="J177" s="4" t="s">
        <v>15</v>
      </c>
    </row>
    <row r="178" spans="1:10" ht="16" x14ac:dyDescent="0.2">
      <c r="A178" s="3" t="s">
        <v>170</v>
      </c>
      <c r="B178" s="4" t="s">
        <v>15</v>
      </c>
      <c r="C178" s="4" t="s">
        <v>15</v>
      </c>
      <c r="D178" s="4">
        <v>-287664000</v>
      </c>
      <c r="E178" s="4" t="s">
        <v>15</v>
      </c>
      <c r="F178" s="5" t="s">
        <v>15</v>
      </c>
      <c r="G178" s="4" t="s">
        <v>15</v>
      </c>
      <c r="H178" s="4" t="s">
        <v>15</v>
      </c>
      <c r="I178" s="4" t="s">
        <v>15</v>
      </c>
      <c r="J178" s="4" t="s">
        <v>15</v>
      </c>
    </row>
    <row r="179" spans="1:10" ht="16" x14ac:dyDescent="0.2">
      <c r="A179" s="3" t="s">
        <v>171</v>
      </c>
      <c r="B179" s="4" t="s">
        <v>15</v>
      </c>
      <c r="C179" s="4" t="s">
        <v>15</v>
      </c>
      <c r="D179" s="4">
        <v>-17543000</v>
      </c>
      <c r="E179" s="4">
        <v>-6899000</v>
      </c>
      <c r="F179" s="5">
        <v>-1896000</v>
      </c>
      <c r="G179" s="4" t="s">
        <v>15</v>
      </c>
      <c r="H179" s="4" t="s">
        <v>15</v>
      </c>
      <c r="I179" s="4">
        <v>-1896000</v>
      </c>
      <c r="J179" s="4" t="s">
        <v>15</v>
      </c>
    </row>
    <row r="180" spans="1:10" ht="16" x14ac:dyDescent="0.2">
      <c r="A180" s="3" t="s">
        <v>146</v>
      </c>
      <c r="B180" s="4" t="s">
        <v>15</v>
      </c>
      <c r="C180" s="4" t="s">
        <v>15</v>
      </c>
      <c r="D180" s="4" t="s">
        <v>15</v>
      </c>
      <c r="E180" s="4" t="s">
        <v>15</v>
      </c>
      <c r="F180" s="5" t="s">
        <v>15</v>
      </c>
      <c r="G180" s="4" t="s">
        <v>15</v>
      </c>
      <c r="H180" s="4" t="s">
        <v>15</v>
      </c>
      <c r="I180" s="4" t="s">
        <v>15</v>
      </c>
      <c r="J180" s="4" t="s">
        <v>15</v>
      </c>
    </row>
    <row r="181" spans="1:10" ht="16" x14ac:dyDescent="0.2">
      <c r="A181" s="3" t="s">
        <v>172</v>
      </c>
      <c r="B181" s="4">
        <v>-12680000</v>
      </c>
      <c r="C181" s="4">
        <v>8077000</v>
      </c>
      <c r="D181" s="4">
        <v>27580000</v>
      </c>
      <c r="E181" s="4">
        <v>134361000</v>
      </c>
      <c r="F181" s="5">
        <v>119408000</v>
      </c>
      <c r="G181" s="4">
        <v>37997000</v>
      </c>
      <c r="H181" s="4">
        <v>21657000</v>
      </c>
      <c r="I181" s="4">
        <v>34084000</v>
      </c>
      <c r="J181" s="4">
        <v>25670000</v>
      </c>
    </row>
    <row r="182" spans="1:10" ht="16" x14ac:dyDescent="0.2">
      <c r="A182" s="3" t="s">
        <v>173</v>
      </c>
      <c r="B182" s="4" t="s">
        <v>15</v>
      </c>
      <c r="C182" s="4" t="s">
        <v>15</v>
      </c>
      <c r="D182" s="4" t="s">
        <v>15</v>
      </c>
      <c r="E182" s="4" t="s">
        <v>15</v>
      </c>
      <c r="F182" s="5" t="s">
        <v>15</v>
      </c>
      <c r="G182" s="4" t="s">
        <v>15</v>
      </c>
      <c r="H182" s="4" t="s">
        <v>15</v>
      </c>
      <c r="I182" s="4" t="s">
        <v>15</v>
      </c>
      <c r="J182" s="4" t="s">
        <v>15</v>
      </c>
    </row>
    <row r="183" spans="1:10" ht="16" x14ac:dyDescent="0.2">
      <c r="A183" s="3" t="s">
        <v>174</v>
      </c>
      <c r="B183" s="4">
        <v>4074000</v>
      </c>
      <c r="C183" s="4">
        <v>16056000</v>
      </c>
      <c r="D183" s="4">
        <v>-13134000</v>
      </c>
      <c r="E183" s="4">
        <v>1672000</v>
      </c>
      <c r="F183" s="5">
        <v>2424000</v>
      </c>
      <c r="G183" s="4">
        <v>13274000</v>
      </c>
      <c r="H183" s="4">
        <v>-14389000</v>
      </c>
      <c r="I183" s="4">
        <v>-5882000</v>
      </c>
      <c r="J183" s="4">
        <v>9421000</v>
      </c>
    </row>
    <row r="184" spans="1:10" ht="16" x14ac:dyDescent="0.2">
      <c r="A184" s="3" t="s">
        <v>45</v>
      </c>
      <c r="B184" s="4">
        <v>39967000</v>
      </c>
      <c r="C184" s="4">
        <v>26204000</v>
      </c>
      <c r="D184" s="4">
        <v>-88055000</v>
      </c>
      <c r="E184" s="4">
        <v>42116000</v>
      </c>
      <c r="F184" s="5">
        <v>84595000</v>
      </c>
      <c r="G184" s="4">
        <v>16988000</v>
      </c>
      <c r="H184" s="4">
        <v>16963000</v>
      </c>
      <c r="I184" s="4">
        <v>14547000</v>
      </c>
      <c r="J184" s="4">
        <v>36097000</v>
      </c>
    </row>
    <row r="185" spans="1:10" ht="16" x14ac:dyDescent="0.2">
      <c r="A185" s="3" t="s">
        <v>46</v>
      </c>
      <c r="B185" s="6">
        <v>16.77</v>
      </c>
      <c r="C185" s="4">
        <v>8</v>
      </c>
      <c r="D185" s="6">
        <v>-17.690000000000001</v>
      </c>
      <c r="E185" s="6">
        <v>5.7</v>
      </c>
      <c r="F185" s="7">
        <v>9.98</v>
      </c>
      <c r="G185" s="6">
        <v>3.7</v>
      </c>
      <c r="H185" s="6">
        <v>5.7</v>
      </c>
      <c r="I185" s="6">
        <v>7.87</v>
      </c>
      <c r="J185" s="6">
        <v>9.98</v>
      </c>
    </row>
    <row r="186" spans="1:10" ht="16" x14ac:dyDescent="0.2">
      <c r="A186" s="3" t="s">
        <v>175</v>
      </c>
      <c r="B186" s="4">
        <v>530000</v>
      </c>
      <c r="C186" s="4">
        <v>5094000</v>
      </c>
      <c r="D186" s="4">
        <v>5387000</v>
      </c>
      <c r="E186" s="4">
        <v>6051000</v>
      </c>
      <c r="F186" s="5" t="s">
        <v>15</v>
      </c>
      <c r="G186" s="4" t="s">
        <v>15</v>
      </c>
      <c r="H186" s="4" t="s">
        <v>15</v>
      </c>
      <c r="I186" s="4" t="s">
        <v>15</v>
      </c>
      <c r="J186" s="4" t="s">
        <v>15</v>
      </c>
    </row>
    <row r="187" spans="1:10" ht="16" x14ac:dyDescent="0.2">
      <c r="A187" s="3" t="s">
        <v>176</v>
      </c>
      <c r="B187" s="4">
        <v>17237000</v>
      </c>
      <c r="C187" s="4">
        <v>12974000</v>
      </c>
      <c r="D187" s="4">
        <v>-38069000</v>
      </c>
      <c r="E187" s="4">
        <v>-127997000</v>
      </c>
      <c r="F187" s="5">
        <v>-117318000</v>
      </c>
      <c r="G187" s="4">
        <v>-24723000</v>
      </c>
      <c r="H187" s="4">
        <v>-36131000</v>
      </c>
      <c r="I187" s="4">
        <v>-40206000</v>
      </c>
      <c r="J187" s="4">
        <v>-16258000</v>
      </c>
    </row>
    <row r="188" spans="1:10" ht="16" x14ac:dyDescent="0.2">
      <c r="A188" s="28" t="s">
        <v>177</v>
      </c>
      <c r="B188" s="26">
        <v>19575667</v>
      </c>
      <c r="C188" s="26">
        <v>16230486</v>
      </c>
      <c r="D188" s="26">
        <v>-38069000</v>
      </c>
      <c r="E188" s="26">
        <v>-127997000</v>
      </c>
      <c r="F188" s="27">
        <v>-122097313</v>
      </c>
      <c r="G188" s="26">
        <v>-24723000</v>
      </c>
      <c r="H188" s="26">
        <v>-43987275</v>
      </c>
      <c r="I188" s="26">
        <v>-40206000</v>
      </c>
      <c r="J188" s="26">
        <v>-8650126</v>
      </c>
    </row>
    <row r="189" spans="1:10" ht="16" x14ac:dyDescent="0.2">
      <c r="A189" s="21" t="s">
        <v>190</v>
      </c>
      <c r="B189" s="22"/>
      <c r="C189" s="23">
        <f>(C188/B188)-1</f>
        <v>-0.17088464980529139</v>
      </c>
      <c r="D189" s="23">
        <f>(D188/C188)-1</f>
        <v>-3.3455243422778591</v>
      </c>
      <c r="E189" s="23">
        <f>(E188/D188)-1</f>
        <v>2.3622369907273635</v>
      </c>
      <c r="F189" s="23">
        <f t="shared" ref="F189:J189" si="8">(F188/E188)-1</f>
        <v>-4.6092384977772904E-2</v>
      </c>
      <c r="G189" s="23"/>
      <c r="H189" s="23">
        <f t="shared" si="8"/>
        <v>0.77920458682198768</v>
      </c>
      <c r="I189" s="23">
        <f t="shared" si="8"/>
        <v>-8.5962929051640491E-2</v>
      </c>
      <c r="J189" s="23">
        <f t="shared" si="8"/>
        <v>-0.78485484753519374</v>
      </c>
    </row>
    <row r="190" spans="1:10" ht="16" x14ac:dyDescent="0.2">
      <c r="A190" s="24" t="s">
        <v>191</v>
      </c>
      <c r="B190" s="25">
        <f t="shared" ref="B190:J190" si="9">B188/B2</f>
        <v>8.2123720465834341E-2</v>
      </c>
      <c r="C190" s="25">
        <f t="shared" si="9"/>
        <v>4.9571904597557212E-2</v>
      </c>
      <c r="D190" s="25">
        <f t="shared" si="9"/>
        <v>-7.6462814034016502E-2</v>
      </c>
      <c r="E190" s="25">
        <f t="shared" si="9"/>
        <v>-0.17320016454401282</v>
      </c>
      <c r="F190" s="25">
        <f t="shared" si="9"/>
        <v>-0.14404705994778327</v>
      </c>
      <c r="G190" s="25">
        <f t="shared" si="9"/>
        <v>-0.12445632475534614</v>
      </c>
      <c r="H190" s="25">
        <f t="shared" si="9"/>
        <v>-0.21794544337477145</v>
      </c>
      <c r="I190" s="25">
        <f t="shared" si="9"/>
        <v>-0.20381513380342378</v>
      </c>
      <c r="J190" s="25">
        <f t="shared" si="9"/>
        <v>-3.4617258753236568E-2</v>
      </c>
    </row>
    <row r="191" spans="1:10" ht="16" x14ac:dyDescent="0.2">
      <c r="A191" s="3" t="s">
        <v>178</v>
      </c>
      <c r="B191" s="4" t="s">
        <v>15</v>
      </c>
      <c r="C191" s="4">
        <v>28900000</v>
      </c>
      <c r="D191" s="4">
        <v>-14090000</v>
      </c>
      <c r="E191" s="4">
        <v>14622000</v>
      </c>
      <c r="F191" s="5">
        <v>4320000</v>
      </c>
      <c r="G191" s="4">
        <v>13274000</v>
      </c>
      <c r="H191" s="4">
        <v>-14389000</v>
      </c>
      <c r="I191" s="4">
        <v>-3986000</v>
      </c>
      <c r="J191" s="4">
        <v>9421000</v>
      </c>
    </row>
    <row r="192" spans="1:10" ht="16" x14ac:dyDescent="0.2">
      <c r="A192" s="3" t="s">
        <v>179</v>
      </c>
      <c r="B192" s="6">
        <v>0.37</v>
      </c>
      <c r="C192" s="6">
        <v>0.28000000000000003</v>
      </c>
      <c r="D192" s="6">
        <v>-0.83</v>
      </c>
      <c r="E192" s="6">
        <v>-2.4700000000000002</v>
      </c>
      <c r="F192" s="7">
        <v>-2.12</v>
      </c>
      <c r="G192" s="6">
        <v>-0.47</v>
      </c>
      <c r="H192" s="6">
        <v>-0.65</v>
      </c>
      <c r="I192" s="6">
        <v>-0.71</v>
      </c>
      <c r="J192" s="6">
        <v>-0.28999999999999998</v>
      </c>
    </row>
    <row r="193" spans="1:10" ht="16" x14ac:dyDescent="0.2">
      <c r="A193" s="3" t="s">
        <v>180</v>
      </c>
      <c r="B193" s="4" t="s">
        <v>15</v>
      </c>
      <c r="C193" s="4" t="s">
        <v>15</v>
      </c>
      <c r="D193" s="6">
        <v>11.74</v>
      </c>
      <c r="E193" s="6">
        <v>5.9</v>
      </c>
      <c r="F193" s="7">
        <v>5.39</v>
      </c>
      <c r="G193" s="6">
        <v>8.3699999999999992</v>
      </c>
      <c r="H193" s="6">
        <v>7.08</v>
      </c>
      <c r="I193" s="6">
        <v>8.14</v>
      </c>
      <c r="J193" s="6">
        <v>6.51</v>
      </c>
    </row>
    <row r="194" spans="1:10" ht="16" x14ac:dyDescent="0.2">
      <c r="A194" s="3" t="s">
        <v>181</v>
      </c>
      <c r="B194" s="4">
        <v>2</v>
      </c>
      <c r="C194" s="6">
        <v>9.35</v>
      </c>
      <c r="D194" s="6">
        <v>-5.73</v>
      </c>
      <c r="E194" s="6">
        <v>-12.6</v>
      </c>
      <c r="F194" s="7">
        <v>8901.2999999999993</v>
      </c>
      <c r="G194" s="6">
        <v>14.78</v>
      </c>
      <c r="H194" s="6">
        <v>-25.81</v>
      </c>
      <c r="I194" s="6">
        <v>-0.8</v>
      </c>
      <c r="J194" s="6">
        <v>15.54</v>
      </c>
    </row>
    <row r="196" spans="1:10" ht="16" x14ac:dyDescent="0.2">
      <c r="A196" s="8"/>
    </row>
  </sheetData>
  <hyperlinks>
    <hyperlink ref="A1" r:id="rId1" tooltip="ROIC AI" display="ROIC AI" xr:uid="{00000000-0004-0000-0000-000000000000}"/>
  </hyperlinks>
  <pageMargins left="0.7" right="0.7" top="0.75" bottom="0.75" header="0.3" footer="0.3"/>
  <ignoredErrors>
    <ignoredError sqref="B1:J1 A4:J7 A15:J16 A19:J33 A191:J195 A2:J2 A9:J11 A13 A37:J128 A130:J142 A144:J171 A188:C188 F188 H188 J188 A173:J187 A172:E172 G172:J17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84F69-A6A1-4A40-AAF4-CA3D32A002D7}">
  <dimension ref="A1:P110"/>
  <sheetViews>
    <sheetView tabSelected="1" workbookViewId="0">
      <selection activeCell="G23" sqref="G23"/>
    </sheetView>
  </sheetViews>
  <sheetFormatPr baseColWidth="10" defaultRowHeight="15" x14ac:dyDescent="0.2"/>
  <cols>
    <col min="1" max="16" width="18.83203125" customWidth="1"/>
  </cols>
  <sheetData>
    <row r="1" spans="1:16" s="113" customFormat="1" ht="22" customHeight="1" x14ac:dyDescent="0.2">
      <c r="A1" s="112" t="e" vm="1">
        <v>#VALUE!</v>
      </c>
      <c r="B1" s="112"/>
      <c r="C1" s="112"/>
      <c r="D1" s="112"/>
      <c r="E1" s="112"/>
      <c r="F1" s="112"/>
      <c r="G1" s="112"/>
      <c r="H1" s="112"/>
      <c r="I1" s="112"/>
      <c r="J1" s="112"/>
      <c r="K1" s="112"/>
      <c r="L1" s="112"/>
      <c r="M1" s="112"/>
      <c r="N1" s="112"/>
      <c r="O1" s="112"/>
      <c r="P1" s="112"/>
    </row>
    <row r="2" spans="1:16" s="113" customFormat="1" ht="22" customHeight="1" thickBot="1" x14ac:dyDescent="0.25">
      <c r="A2" s="112"/>
      <c r="B2" s="112"/>
      <c r="C2" s="112"/>
      <c r="D2" s="112"/>
      <c r="E2" s="112"/>
      <c r="F2" s="112"/>
      <c r="G2" s="112"/>
      <c r="H2" s="112"/>
      <c r="I2" s="112"/>
      <c r="J2" s="112"/>
      <c r="K2" s="112"/>
      <c r="L2" s="112"/>
      <c r="M2" s="112"/>
      <c r="N2" s="112"/>
      <c r="O2" s="112"/>
      <c r="P2" s="112"/>
    </row>
    <row r="3" spans="1:16" ht="22" customHeight="1" x14ac:dyDescent="0.2">
      <c r="A3" s="65" cm="1">
        <f t="array" ref="A3">_FV(A1,"Market cap",TRUE)</f>
        <v>4899011964</v>
      </c>
      <c r="B3" s="66" t="s">
        <v>192</v>
      </c>
      <c r="C3" s="67">
        <f>Financials!F8*0.01</f>
        <v>0.26179999999999998</v>
      </c>
      <c r="D3" s="66" t="s">
        <v>193</v>
      </c>
      <c r="E3" s="67">
        <f>SUM(C11:E11)/3</f>
        <v>0.45950883205760507</v>
      </c>
      <c r="F3" s="68" t="s">
        <v>194</v>
      </c>
      <c r="G3" s="69">
        <f>AVERAGE(Financials!B129:J129)</f>
        <v>2.5632082859552159E-2</v>
      </c>
      <c r="H3" s="68" t="s">
        <v>195</v>
      </c>
      <c r="I3" s="70">
        <f>J15*(1+I7)/(I6-I7)</f>
        <v>3476304807.0668588</v>
      </c>
      <c r="J3" s="71" t="s">
        <v>196</v>
      </c>
      <c r="K3" s="72">
        <f>(Financials!F172*-1)/Model!A3</f>
        <v>0</v>
      </c>
      <c r="L3" s="73" t="s">
        <v>203</v>
      </c>
      <c r="M3" s="34"/>
      <c r="N3" s="114" t="s">
        <v>197</v>
      </c>
      <c r="O3" s="115"/>
      <c r="P3" s="34"/>
    </row>
    <row r="4" spans="1:16" ht="22" customHeight="1" x14ac:dyDescent="0.2">
      <c r="A4" s="74">
        <f>Financials!F56-Financials!F96-Financials!F105</f>
        <v>-759425000</v>
      </c>
      <c r="B4" s="75" t="s">
        <v>198</v>
      </c>
      <c r="C4" s="36">
        <f>Financials!F17*0.01</f>
        <v>3.3399999999999999E-2</v>
      </c>
      <c r="D4" s="75" t="s">
        <v>199</v>
      </c>
      <c r="E4" s="36">
        <f>SUM(C13:E13)/3</f>
        <v>-1.6370636963328966</v>
      </c>
      <c r="F4" s="76" t="s">
        <v>200</v>
      </c>
      <c r="G4" s="77">
        <f>A5*(1+(5*G3))</f>
        <v>199814583.04251364</v>
      </c>
      <c r="H4" s="76" t="s">
        <v>201</v>
      </c>
      <c r="I4" s="35">
        <f>NPV(I6,F15,G15,H15,I15,(J15+I3))</f>
        <v>2447426177.4465508</v>
      </c>
      <c r="J4" s="76" t="s">
        <v>202</v>
      </c>
      <c r="K4" s="78" cm="1">
        <f t="array" ref="K4">_FV(A1,"Change (%)",TRUE)</f>
        <v>3.993E-3</v>
      </c>
      <c r="L4" s="79" t="s">
        <v>241</v>
      </c>
      <c r="M4" s="34"/>
      <c r="N4" s="116" t="s">
        <v>204</v>
      </c>
      <c r="O4" s="117"/>
      <c r="P4" s="34"/>
    </row>
    <row r="5" spans="1:16" ht="22" customHeight="1" x14ac:dyDescent="0.2">
      <c r="A5" s="74" cm="1">
        <f t="array" ref="A5">_FV(A1,"Shares outstanding",TRUE)</f>
        <v>177115400</v>
      </c>
      <c r="B5" s="75" t="s">
        <v>205</v>
      </c>
      <c r="C5" s="36">
        <f>F14</f>
        <v>4.7767393561786088E-2</v>
      </c>
      <c r="D5" s="80" t="s">
        <v>206</v>
      </c>
      <c r="E5" s="36">
        <f>SUM(C16:E16)/3</f>
        <v>-0.384724000451929</v>
      </c>
      <c r="F5" s="76" t="s">
        <v>207</v>
      </c>
      <c r="G5" s="77">
        <f>Financials!F56</f>
        <v>23717000</v>
      </c>
      <c r="H5" s="76" t="s">
        <v>208</v>
      </c>
      <c r="I5" s="35">
        <f>I4+G5-G6</f>
        <v>1688001177.4465508</v>
      </c>
      <c r="J5" s="76" t="s">
        <v>209</v>
      </c>
      <c r="K5" s="81" cm="1">
        <f t="array" ref="K5">_FV(A1,"Price")</f>
        <v>27.66</v>
      </c>
      <c r="L5" s="82" t="s">
        <v>210</v>
      </c>
      <c r="M5" s="34"/>
      <c r="N5" s="96" t="s">
        <v>211</v>
      </c>
      <c r="O5" s="97">
        <f>Financials!F20</f>
        <v>28877000</v>
      </c>
      <c r="P5" s="34"/>
    </row>
    <row r="6" spans="1:16" ht="22" customHeight="1" x14ac:dyDescent="0.2">
      <c r="A6" s="83">
        <f>O20/F10</f>
        <v>5.0872398380062309</v>
      </c>
      <c r="B6" s="75" t="s">
        <v>212</v>
      </c>
      <c r="C6" s="36">
        <f>F17</f>
        <v>4.1536863966770511E-2</v>
      </c>
      <c r="D6" s="80" t="s">
        <v>191</v>
      </c>
      <c r="E6" s="36">
        <f>Financials!F33/Financials!F126</f>
        <v>3.7026751828195872E-5</v>
      </c>
      <c r="F6" s="75" t="s">
        <v>213</v>
      </c>
      <c r="G6" s="77">
        <f>Financials!F96+Financials!F105</f>
        <v>783142000</v>
      </c>
      <c r="H6" s="76" t="s">
        <v>214</v>
      </c>
      <c r="I6" s="78">
        <f>N25</f>
        <v>0.11493026139838933</v>
      </c>
      <c r="J6" s="76" t="s">
        <v>215</v>
      </c>
      <c r="K6" s="84">
        <f>I5/G4</f>
        <v>8.4478377490966334</v>
      </c>
      <c r="L6" s="85" t="s">
        <v>216</v>
      </c>
      <c r="M6" s="34"/>
      <c r="N6" s="96" t="s">
        <v>217</v>
      </c>
      <c r="O6" s="97">
        <f>Financials!F96</f>
        <v>203807000</v>
      </c>
      <c r="P6" s="34"/>
    </row>
    <row r="7" spans="1:16" ht="22" customHeight="1" thickBot="1" x14ac:dyDescent="0.25">
      <c r="A7" s="86">
        <f>O20/F12</f>
        <v>106.50026008695652</v>
      </c>
      <c r="B7" s="87" t="s">
        <v>218</v>
      </c>
      <c r="C7" s="88">
        <f>F15/A3</f>
        <v>8.1649116789133842E-3</v>
      </c>
      <c r="D7" s="87" t="s">
        <v>219</v>
      </c>
      <c r="E7" s="89">
        <f>(Financials!F16*(1-0.25))/(Financials!F126+Financials!F105+Financials!F96)</f>
        <v>2.0147557435932006E-2</v>
      </c>
      <c r="F7" s="87" t="s">
        <v>187</v>
      </c>
      <c r="G7" s="90">
        <f>(Financials!F96+Financials!F105)/Financials!F126</f>
        <v>2.8997204480236971</v>
      </c>
      <c r="H7" s="91" t="s">
        <v>220</v>
      </c>
      <c r="I7" s="92">
        <v>2.5000000000000001E-2</v>
      </c>
      <c r="J7" s="93" t="s">
        <v>221</v>
      </c>
      <c r="K7" s="94">
        <f>K6/K5-1</f>
        <v>-0.69458287241154615</v>
      </c>
      <c r="L7" s="95" t="s">
        <v>222</v>
      </c>
      <c r="M7" s="34"/>
      <c r="N7" s="96" t="s">
        <v>223</v>
      </c>
      <c r="O7" s="97">
        <f>Financials!F105</f>
        <v>579335000</v>
      </c>
      <c r="P7" s="34"/>
    </row>
    <row r="8" spans="1:16" ht="22" customHeight="1" x14ac:dyDescent="0.2">
      <c r="A8" s="37"/>
      <c r="B8" s="34"/>
      <c r="C8" s="34"/>
      <c r="D8" s="34"/>
      <c r="E8" s="34"/>
      <c r="F8" s="34"/>
      <c r="G8" s="34"/>
      <c r="H8" s="34"/>
      <c r="I8" s="34"/>
      <c r="J8" s="34"/>
      <c r="K8" s="34"/>
      <c r="L8" s="34"/>
      <c r="M8" s="34"/>
      <c r="N8" s="98" t="s">
        <v>204</v>
      </c>
      <c r="O8" s="99">
        <f>O5/(O6+O7)</f>
        <v>3.6873261809480272E-2</v>
      </c>
      <c r="P8" s="34"/>
    </row>
    <row r="9" spans="1:16" ht="22" customHeight="1" x14ac:dyDescent="0.2">
      <c r="A9" s="45"/>
      <c r="B9" s="46">
        <v>2019</v>
      </c>
      <c r="C9" s="46">
        <v>2020</v>
      </c>
      <c r="D9" s="46">
        <v>2021</v>
      </c>
      <c r="E9" s="47">
        <v>2022</v>
      </c>
      <c r="F9" s="48">
        <v>2023</v>
      </c>
      <c r="G9" s="49">
        <v>2024</v>
      </c>
      <c r="H9" s="49">
        <v>2025</v>
      </c>
      <c r="I9" s="49">
        <v>2026</v>
      </c>
      <c r="J9" s="50">
        <v>2027</v>
      </c>
      <c r="K9" s="38"/>
      <c r="L9" s="38"/>
      <c r="M9" s="38"/>
      <c r="N9" s="96" t="s">
        <v>224</v>
      </c>
      <c r="O9" s="97">
        <f>Financials!F25</f>
        <v>6359000</v>
      </c>
      <c r="P9" s="34"/>
    </row>
    <row r="10" spans="1:16" ht="22" customHeight="1" x14ac:dyDescent="0.2">
      <c r="A10" s="51" t="s">
        <v>225</v>
      </c>
      <c r="B10" s="52">
        <v>238368000</v>
      </c>
      <c r="C10" s="52">
        <v>327413000</v>
      </c>
      <c r="D10" s="52">
        <v>497876000</v>
      </c>
      <c r="E10" s="53">
        <v>739012000</v>
      </c>
      <c r="F10" s="52">
        <v>963000000</v>
      </c>
      <c r="G10" s="52">
        <v>1205000000</v>
      </c>
      <c r="H10" s="52">
        <v>1466000000</v>
      </c>
      <c r="I10" s="52">
        <v>1724000000</v>
      </c>
      <c r="J10" s="53">
        <v>1966000000</v>
      </c>
      <c r="K10" s="54" t="s">
        <v>226</v>
      </c>
      <c r="L10" s="38"/>
      <c r="N10" s="96" t="s">
        <v>227</v>
      </c>
      <c r="O10" s="97">
        <f>Financials!F24</f>
        <v>5456000</v>
      </c>
      <c r="P10" s="34"/>
    </row>
    <row r="11" spans="1:16" ht="22" customHeight="1" x14ac:dyDescent="0.2">
      <c r="A11" s="55"/>
      <c r="B11" s="39"/>
      <c r="C11" s="39">
        <f t="shared" ref="C11:J11" si="0">(C10/B10)-1</f>
        <v>0.37356104846288085</v>
      </c>
      <c r="D11" s="39">
        <f t="shared" si="0"/>
        <v>0.52063601628524214</v>
      </c>
      <c r="E11" s="39">
        <f t="shared" si="0"/>
        <v>0.4843294314246922</v>
      </c>
      <c r="F11" s="40">
        <f t="shared" si="0"/>
        <v>0.30309115413552146</v>
      </c>
      <c r="G11" s="39">
        <f t="shared" si="0"/>
        <v>0.25129802699896153</v>
      </c>
      <c r="H11" s="39">
        <f t="shared" si="0"/>
        <v>0.21659751037344388</v>
      </c>
      <c r="I11" s="39">
        <f t="shared" si="0"/>
        <v>0.17598908594815832</v>
      </c>
      <c r="J11" s="56">
        <f t="shared" si="0"/>
        <v>0.1403712296983759</v>
      </c>
      <c r="K11" s="56">
        <f>SUM(F11:J11)/5</f>
        <v>0.21746940143089222</v>
      </c>
      <c r="L11" s="38"/>
      <c r="M11" s="38"/>
      <c r="N11" s="96" t="s">
        <v>228</v>
      </c>
      <c r="O11" s="100">
        <f>O9/O10</f>
        <v>1.1655058651026393</v>
      </c>
      <c r="P11" s="34"/>
    </row>
    <row r="12" spans="1:16" ht="22" customHeight="1" x14ac:dyDescent="0.2">
      <c r="A12" s="51" t="s">
        <v>133</v>
      </c>
      <c r="B12" s="52">
        <v>28386000</v>
      </c>
      <c r="C12" s="52">
        <v>5725000</v>
      </c>
      <c r="D12" s="52">
        <v>-14035000</v>
      </c>
      <c r="E12" s="52">
        <v>-4753000</v>
      </c>
      <c r="F12" s="57">
        <v>46000000</v>
      </c>
      <c r="G12" s="52">
        <v>60000000</v>
      </c>
      <c r="H12" s="52">
        <v>86000000</v>
      </c>
      <c r="I12" s="52">
        <v>111000000</v>
      </c>
      <c r="J12" s="53">
        <v>118000000</v>
      </c>
      <c r="K12" s="58" t="s">
        <v>229</v>
      </c>
      <c r="L12" s="38"/>
      <c r="M12" s="38"/>
      <c r="N12" s="96" t="s">
        <v>230</v>
      </c>
      <c r="O12" s="100">
        <f>O8*(1-O11)</f>
        <v>-6.1027410949341439E-3</v>
      </c>
      <c r="P12" s="34"/>
    </row>
    <row r="13" spans="1:16" ht="22" customHeight="1" x14ac:dyDescent="0.2">
      <c r="A13" s="55"/>
      <c r="B13" s="39"/>
      <c r="C13" s="39">
        <f t="shared" ref="C13:J13" si="1">(C12/B12)-1</f>
        <v>-0.79831607130275484</v>
      </c>
      <c r="D13" s="39">
        <f t="shared" si="1"/>
        <v>-3.4515283842794759</v>
      </c>
      <c r="E13" s="39">
        <f t="shared" si="1"/>
        <v>-0.66134663341645883</v>
      </c>
      <c r="F13" s="40">
        <f t="shared" si="1"/>
        <v>-10.678098043341048</v>
      </c>
      <c r="G13" s="39">
        <f t="shared" si="1"/>
        <v>0.30434782608695654</v>
      </c>
      <c r="H13" s="39">
        <f t="shared" si="1"/>
        <v>0.43333333333333335</v>
      </c>
      <c r="I13" s="39">
        <f t="shared" si="1"/>
        <v>0.29069767441860472</v>
      </c>
      <c r="J13" s="56">
        <f t="shared" si="1"/>
        <v>6.3063063063063085E-2</v>
      </c>
      <c r="K13" s="56">
        <f>SUM(G13:J13)/4</f>
        <v>0.27286047422548942</v>
      </c>
      <c r="L13" s="38"/>
      <c r="M13" s="38"/>
      <c r="N13" s="116" t="s">
        <v>231</v>
      </c>
      <c r="O13" s="117"/>
      <c r="P13" s="34"/>
    </row>
    <row r="14" spans="1:16" ht="22" customHeight="1" x14ac:dyDescent="0.2">
      <c r="A14" s="41" t="s">
        <v>242</v>
      </c>
      <c r="B14" s="42">
        <f>B12/B10</f>
        <v>0.11908477648006444</v>
      </c>
      <c r="C14" s="42">
        <f t="shared" ref="C14:J14" si="2">C12/C10</f>
        <v>1.7485561049805597E-2</v>
      </c>
      <c r="D14" s="42">
        <f t="shared" si="2"/>
        <v>-2.8189750058247434E-2</v>
      </c>
      <c r="E14" s="42">
        <f t="shared" si="2"/>
        <v>-6.4315599746688819E-3</v>
      </c>
      <c r="F14" s="43">
        <f t="shared" si="2"/>
        <v>4.7767393561786088E-2</v>
      </c>
      <c r="G14" s="42">
        <f t="shared" si="2"/>
        <v>4.9792531120331947E-2</v>
      </c>
      <c r="H14" s="42">
        <f t="shared" si="2"/>
        <v>5.8663028649386086E-2</v>
      </c>
      <c r="I14" s="42">
        <f t="shared" si="2"/>
        <v>6.4385150812064959E-2</v>
      </c>
      <c r="J14" s="44">
        <f t="shared" si="2"/>
        <v>6.002034587995931E-2</v>
      </c>
      <c r="K14" s="44"/>
      <c r="L14" s="38"/>
      <c r="M14" s="38"/>
      <c r="N14" s="96" t="s">
        <v>233</v>
      </c>
      <c r="O14" s="100">
        <f>'[1]US Treasury Bonds'!$C$8</f>
        <v>4.1210000000000004E-2</v>
      </c>
      <c r="P14" s="34"/>
    </row>
    <row r="15" spans="1:16" ht="22" customHeight="1" x14ac:dyDescent="0.2">
      <c r="A15" s="51" t="s">
        <v>176</v>
      </c>
      <c r="B15" s="52">
        <v>19575667</v>
      </c>
      <c r="C15" s="52">
        <v>16230486</v>
      </c>
      <c r="D15" s="52">
        <v>-38069000</v>
      </c>
      <c r="E15" s="52">
        <v>-127997000</v>
      </c>
      <c r="F15" s="57">
        <v>40000000</v>
      </c>
      <c r="G15" s="52">
        <v>55000000</v>
      </c>
      <c r="H15" s="52">
        <v>100000000</v>
      </c>
      <c r="I15" s="52">
        <v>155000000</v>
      </c>
      <c r="J15" s="53">
        <v>305000000</v>
      </c>
      <c r="K15" s="58" t="s">
        <v>232</v>
      </c>
      <c r="L15" s="38"/>
      <c r="M15" s="38"/>
      <c r="N15" s="96" t="s">
        <v>234</v>
      </c>
      <c r="O15" s="101" cm="1">
        <f t="array" ref="O15">_FV(A1,"Beta")</f>
        <v>2.1749999999999998</v>
      </c>
      <c r="P15" s="34"/>
    </row>
    <row r="16" spans="1:16" ht="22" customHeight="1" x14ac:dyDescent="0.2">
      <c r="A16" s="59"/>
      <c r="B16" s="39"/>
      <c r="C16" s="39">
        <f t="shared" ref="C16:J16" si="3">(C15/B15)-1</f>
        <v>-0.17088464980529139</v>
      </c>
      <c r="D16" s="39">
        <f t="shared" si="3"/>
        <v>-3.3455243422778591</v>
      </c>
      <c r="E16" s="39">
        <f t="shared" si="3"/>
        <v>2.3622369907273635</v>
      </c>
      <c r="F16" s="40">
        <f t="shared" si="3"/>
        <v>-1.3125073243904155</v>
      </c>
      <c r="G16" s="39">
        <f t="shared" si="3"/>
        <v>0.375</v>
      </c>
      <c r="H16" s="39">
        <f t="shared" si="3"/>
        <v>0.81818181818181812</v>
      </c>
      <c r="I16" s="39">
        <f t="shared" si="3"/>
        <v>0.55000000000000004</v>
      </c>
      <c r="J16" s="56">
        <f t="shared" si="3"/>
        <v>0.967741935483871</v>
      </c>
      <c r="K16" s="56">
        <f>SUM(F16:J16)/5</f>
        <v>0.27968328585505475</v>
      </c>
      <c r="L16" s="38"/>
      <c r="M16" s="38"/>
      <c r="N16" s="96" t="s">
        <v>235</v>
      </c>
      <c r="O16" s="100">
        <v>8.4000000000000005E-2</v>
      </c>
      <c r="P16" s="34"/>
    </row>
    <row r="17" spans="1:16" ht="22" customHeight="1" x14ac:dyDescent="0.2">
      <c r="A17" s="41" t="s">
        <v>191</v>
      </c>
      <c r="B17" s="42">
        <f>B15/B10</f>
        <v>8.2123720465834341E-2</v>
      </c>
      <c r="C17" s="42">
        <f t="shared" ref="C17:J17" si="4">C15/C10</f>
        <v>4.9571904597557212E-2</v>
      </c>
      <c r="D17" s="42">
        <f t="shared" si="4"/>
        <v>-7.6462814034016502E-2</v>
      </c>
      <c r="E17" s="44">
        <f t="shared" si="4"/>
        <v>-0.17320016454401282</v>
      </c>
      <c r="F17" s="42">
        <f t="shared" si="4"/>
        <v>4.1536863966770511E-2</v>
      </c>
      <c r="G17" s="42">
        <f t="shared" si="4"/>
        <v>4.5643153526970952E-2</v>
      </c>
      <c r="H17" s="42">
        <f t="shared" si="4"/>
        <v>6.8212824010914053E-2</v>
      </c>
      <c r="I17" s="42">
        <f t="shared" si="4"/>
        <v>8.9907192575406039E-2</v>
      </c>
      <c r="J17" s="44">
        <f t="shared" si="4"/>
        <v>0.15513733468972532</v>
      </c>
      <c r="K17" s="44"/>
      <c r="L17" s="38"/>
      <c r="M17" s="38"/>
      <c r="N17" s="102" t="s">
        <v>231</v>
      </c>
      <c r="O17" s="103">
        <f>(O14)+((O15)*(O16-O14))</f>
        <v>0.13427824999999999</v>
      </c>
      <c r="P17" s="34"/>
    </row>
    <row r="18" spans="1:16" ht="22" customHeight="1" x14ac:dyDescent="0.2">
      <c r="A18" s="60" t="s">
        <v>187</v>
      </c>
      <c r="B18" s="61">
        <v>0.1804524265213904</v>
      </c>
      <c r="C18" s="61">
        <v>4.6754191674507492E-2</v>
      </c>
      <c r="D18" s="61">
        <v>-0.2346024373203284</v>
      </c>
      <c r="E18" s="61">
        <v>-2.2327508881424857E-3</v>
      </c>
      <c r="F18" s="62"/>
      <c r="G18" s="61"/>
      <c r="H18" s="61"/>
      <c r="I18" s="61"/>
      <c r="J18" s="63"/>
      <c r="K18" s="64"/>
      <c r="L18" s="38"/>
      <c r="M18" s="38"/>
      <c r="N18" s="116" t="s">
        <v>236</v>
      </c>
      <c r="O18" s="117"/>
      <c r="P18" s="34"/>
    </row>
    <row r="19" spans="1:16" ht="22" customHeight="1" x14ac:dyDescent="0.2">
      <c r="A19" s="38"/>
      <c r="B19" s="38"/>
      <c r="C19" s="38"/>
      <c r="D19" s="38"/>
      <c r="E19" s="38"/>
      <c r="F19" s="38"/>
      <c r="G19" s="38"/>
      <c r="H19" s="38"/>
      <c r="I19" s="38"/>
      <c r="J19" s="38"/>
      <c r="K19" s="38"/>
      <c r="L19" s="38"/>
      <c r="M19" s="38"/>
      <c r="N19" s="96" t="s">
        <v>214</v>
      </c>
      <c r="O19" s="104">
        <f>O6+O7</f>
        <v>783142000</v>
      </c>
      <c r="P19" s="34"/>
    </row>
    <row r="20" spans="1:16" ht="22" customHeight="1" x14ac:dyDescent="0.2">
      <c r="A20" s="38"/>
      <c r="B20" s="38"/>
      <c r="C20" s="38"/>
      <c r="D20" s="38"/>
      <c r="E20" s="38"/>
      <c r="F20" s="38"/>
      <c r="G20" s="38"/>
      <c r="H20" s="38"/>
      <c r="I20" s="38"/>
      <c r="J20" s="38"/>
      <c r="K20" s="38"/>
      <c r="L20" s="38"/>
      <c r="M20" s="38"/>
      <c r="N20" s="96" t="s">
        <v>192</v>
      </c>
      <c r="O20" s="104">
        <f>A3</f>
        <v>4899011964</v>
      </c>
      <c r="P20" s="34"/>
    </row>
    <row r="21" spans="1:16" ht="22" customHeight="1" x14ac:dyDescent="0.2">
      <c r="A21" s="118" t="str" cm="1">
        <f t="array" ref="A21">_FV(A1,"Industry")</f>
        <v>Hotels &amp; Entertainment Services</v>
      </c>
      <c r="B21" s="118"/>
      <c r="C21" s="118"/>
      <c r="D21" s="119" cm="1">
        <f t="array" ref="D21">_FV(A1,"Year incorporated",TRUE)</f>
        <v>2021</v>
      </c>
      <c r="E21" s="119"/>
      <c r="F21" s="38"/>
      <c r="G21" s="38"/>
      <c r="H21" s="38"/>
      <c r="I21" s="38"/>
      <c r="J21" s="38"/>
      <c r="K21" s="38"/>
      <c r="M21" s="38"/>
      <c r="N21" s="96" t="s">
        <v>237</v>
      </c>
      <c r="O21" s="104">
        <f>O19+O20</f>
        <v>5682153964</v>
      </c>
      <c r="P21" s="34"/>
    </row>
    <row r="22" spans="1:16" ht="22" customHeight="1" x14ac:dyDescent="0.2">
      <c r="A22" s="120" t="str" cm="1">
        <f t="array" ref="A22">_FV(A1,"Description")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B22" s="120"/>
      <c r="C22" s="120"/>
      <c r="D22" s="120"/>
      <c r="E22" s="120"/>
      <c r="F22" s="38"/>
      <c r="G22" s="38"/>
      <c r="H22" s="38"/>
      <c r="I22" s="38"/>
      <c r="J22" s="38"/>
      <c r="K22" s="38"/>
      <c r="L22" s="38"/>
      <c r="M22" s="38"/>
      <c r="N22" s="98" t="s">
        <v>238</v>
      </c>
      <c r="O22" s="105">
        <f>(O19/O21)</f>
        <v>0.13782484687350863</v>
      </c>
      <c r="P22" s="34"/>
    </row>
    <row r="23" spans="1:16" ht="22" customHeight="1" x14ac:dyDescent="0.2">
      <c r="A23" s="120"/>
      <c r="B23" s="120"/>
      <c r="C23" s="120"/>
      <c r="D23" s="120"/>
      <c r="E23" s="120"/>
      <c r="F23" s="38"/>
      <c r="G23" s="38"/>
      <c r="H23" s="38"/>
      <c r="I23" s="38"/>
      <c r="J23" s="38"/>
      <c r="K23" s="38"/>
      <c r="L23" s="38"/>
      <c r="M23" s="38"/>
      <c r="N23" s="102" t="s">
        <v>239</v>
      </c>
      <c r="O23" s="106">
        <f>O20/O21</f>
        <v>0.8621751531264914</v>
      </c>
      <c r="P23" s="34"/>
    </row>
    <row r="24" spans="1:16" ht="22" customHeight="1" x14ac:dyDescent="0.2">
      <c r="A24" s="120"/>
      <c r="B24" s="120"/>
      <c r="C24" s="120"/>
      <c r="D24" s="120"/>
      <c r="E24" s="120"/>
      <c r="F24" s="38"/>
      <c r="G24" s="38"/>
      <c r="H24" s="38"/>
      <c r="I24" s="38"/>
      <c r="J24" s="38"/>
      <c r="K24" s="38"/>
      <c r="L24" s="38"/>
      <c r="M24" s="38"/>
      <c r="N24" s="108" t="s">
        <v>240</v>
      </c>
      <c r="O24" s="109"/>
      <c r="P24" s="34"/>
    </row>
    <row r="25" spans="1:16" ht="22" customHeight="1" x14ac:dyDescent="0.2">
      <c r="A25" s="120"/>
      <c r="B25" s="120"/>
      <c r="C25" s="120"/>
      <c r="D25" s="120"/>
      <c r="E25" s="120"/>
      <c r="F25" s="38"/>
      <c r="G25" s="38"/>
      <c r="H25" s="38"/>
      <c r="I25" s="38"/>
      <c r="J25" s="38"/>
      <c r="K25" s="38"/>
      <c r="L25" s="38"/>
      <c r="M25" s="38"/>
      <c r="N25" s="110">
        <f>(O22*O12)+(O23*O17)</f>
        <v>0.11493026139838933</v>
      </c>
      <c r="O25" s="111"/>
      <c r="P25" s="34"/>
    </row>
    <row r="26" spans="1:16" ht="22" customHeight="1" x14ac:dyDescent="0.2">
      <c r="A26" s="120"/>
      <c r="B26" s="120"/>
      <c r="C26" s="120"/>
      <c r="D26" s="120"/>
      <c r="E26" s="120"/>
      <c r="F26" s="38"/>
      <c r="G26" s="38"/>
      <c r="H26" s="38"/>
      <c r="I26" s="38"/>
      <c r="J26" s="38"/>
      <c r="K26" s="38"/>
      <c r="L26" s="38"/>
      <c r="M26" s="38"/>
      <c r="N26" s="38"/>
      <c r="O26" s="34"/>
      <c r="P26" s="34"/>
    </row>
    <row r="27" spans="1:16" ht="22" customHeight="1" x14ac:dyDescent="0.2">
      <c r="A27" s="120"/>
      <c r="B27" s="120"/>
      <c r="C27" s="120"/>
      <c r="D27" s="120"/>
      <c r="E27" s="120"/>
      <c r="F27" s="38"/>
      <c r="G27" s="38"/>
      <c r="H27" s="38"/>
      <c r="I27" s="38"/>
      <c r="J27" s="38"/>
      <c r="K27" s="38"/>
      <c r="L27" s="38"/>
      <c r="M27" s="38"/>
      <c r="N27" s="38"/>
      <c r="O27" s="34"/>
      <c r="P27" s="34"/>
    </row>
    <row r="28" spans="1:16" ht="22" customHeight="1" x14ac:dyDescent="0.2">
      <c r="A28" s="120"/>
      <c r="B28" s="120"/>
      <c r="C28" s="120"/>
      <c r="D28" s="120"/>
      <c r="E28" s="120"/>
      <c r="F28" s="38"/>
      <c r="G28" s="38"/>
      <c r="H28" s="38"/>
      <c r="I28" s="38"/>
      <c r="J28" s="38"/>
      <c r="K28" s="38"/>
      <c r="L28" s="38"/>
      <c r="M28" s="38"/>
      <c r="N28" s="38"/>
      <c r="O28" s="34"/>
      <c r="P28" s="34"/>
    </row>
    <row r="29" spans="1:16" ht="22" customHeight="1" x14ac:dyDescent="0.2">
      <c r="A29" s="120"/>
      <c r="B29" s="120"/>
      <c r="C29" s="120"/>
      <c r="D29" s="120"/>
      <c r="E29" s="120"/>
      <c r="F29" s="38"/>
      <c r="G29" s="38"/>
      <c r="H29" s="38"/>
      <c r="I29" s="38"/>
      <c r="J29" s="38"/>
      <c r="K29" s="38"/>
      <c r="L29" s="38"/>
      <c r="M29" s="38"/>
      <c r="N29" s="38"/>
      <c r="O29" s="34"/>
      <c r="P29" s="34"/>
    </row>
    <row r="30" spans="1:16" ht="22" customHeight="1" x14ac:dyDescent="0.2">
      <c r="A30" s="120"/>
      <c r="B30" s="120"/>
      <c r="C30" s="120"/>
      <c r="D30" s="120"/>
      <c r="E30" s="120"/>
      <c r="F30" s="38"/>
      <c r="G30" s="38"/>
      <c r="H30" s="38"/>
      <c r="I30" s="38"/>
      <c r="J30" s="38"/>
      <c r="K30" s="38"/>
      <c r="L30" s="38"/>
      <c r="M30" s="38"/>
      <c r="N30" s="38"/>
      <c r="O30" s="34"/>
      <c r="P30" s="34"/>
    </row>
    <row r="31" spans="1:16" ht="22" customHeight="1" x14ac:dyDescent="0.2">
      <c r="A31" s="107"/>
      <c r="B31" s="107"/>
      <c r="C31" s="107"/>
      <c r="D31" s="107"/>
      <c r="E31" s="107"/>
      <c r="F31" s="34"/>
      <c r="G31" s="34"/>
      <c r="H31" s="34"/>
      <c r="I31" s="34"/>
      <c r="J31" s="34"/>
      <c r="K31" s="34"/>
      <c r="L31" s="34"/>
      <c r="M31" s="34"/>
      <c r="N31" s="34"/>
      <c r="O31" s="34"/>
      <c r="P31" s="34"/>
    </row>
    <row r="32" spans="1:16" ht="22" customHeight="1" x14ac:dyDescent="0.2">
      <c r="A32" s="107"/>
      <c r="B32" s="107"/>
      <c r="C32" s="107"/>
      <c r="D32" s="107"/>
      <c r="E32" s="107"/>
      <c r="F32" s="34"/>
      <c r="G32" s="34"/>
      <c r="H32" s="34"/>
      <c r="I32" s="34"/>
      <c r="J32" s="34"/>
      <c r="K32" s="34"/>
      <c r="L32" s="34"/>
      <c r="M32" s="34"/>
      <c r="N32" s="34"/>
      <c r="O32" s="34"/>
      <c r="P32" s="34"/>
    </row>
    <row r="33" spans="1:16" ht="22" customHeight="1" x14ac:dyDescent="0.2">
      <c r="A33" s="107"/>
      <c r="B33" s="107"/>
      <c r="C33" s="107"/>
      <c r="D33" s="107"/>
      <c r="E33" s="107"/>
      <c r="F33" s="38"/>
      <c r="G33" s="38"/>
      <c r="H33" s="38"/>
      <c r="I33" s="38"/>
      <c r="J33" s="38"/>
      <c r="K33" s="38"/>
      <c r="L33" s="38"/>
      <c r="M33" s="38"/>
      <c r="N33" s="38"/>
      <c r="O33" s="38"/>
      <c r="P33" s="38"/>
    </row>
    <row r="34" spans="1:16" ht="22" customHeight="1" x14ac:dyDescent="0.2">
      <c r="A34" s="107"/>
      <c r="B34" s="107"/>
      <c r="C34" s="107"/>
      <c r="D34" s="107"/>
      <c r="E34" s="107"/>
      <c r="F34" s="38"/>
      <c r="G34" s="38"/>
      <c r="H34" s="38"/>
      <c r="I34" s="38"/>
      <c r="J34" s="38"/>
      <c r="K34" s="38"/>
      <c r="L34" s="38"/>
      <c r="M34" s="38"/>
      <c r="N34" s="38"/>
      <c r="O34" s="38"/>
      <c r="P34" s="38"/>
    </row>
    <row r="35" spans="1:16" ht="22" customHeight="1" x14ac:dyDescent="0.2">
      <c r="A35" s="107"/>
      <c r="B35" s="107"/>
      <c r="C35" s="107"/>
      <c r="D35" s="107"/>
      <c r="E35" s="107"/>
      <c r="F35" s="38"/>
      <c r="G35" s="38"/>
      <c r="H35" s="38"/>
      <c r="I35" s="38"/>
      <c r="J35" s="38"/>
      <c r="K35" s="38"/>
      <c r="L35" s="38"/>
      <c r="M35" s="38"/>
      <c r="N35" s="38"/>
      <c r="O35" s="38"/>
      <c r="P35" s="38"/>
    </row>
    <row r="36" spans="1:16" x14ac:dyDescent="0.2">
      <c r="A36" s="38"/>
      <c r="B36" s="38"/>
      <c r="C36" s="38"/>
      <c r="D36" s="38"/>
      <c r="E36" s="38"/>
      <c r="F36" s="38"/>
      <c r="G36" s="38"/>
      <c r="H36" s="38"/>
      <c r="I36" s="38"/>
      <c r="J36" s="38"/>
      <c r="K36" s="38"/>
      <c r="L36" s="38"/>
      <c r="M36" s="38"/>
      <c r="N36" s="38"/>
      <c r="O36" s="38"/>
      <c r="P36" s="38"/>
    </row>
    <row r="37" spans="1:16" x14ac:dyDescent="0.2">
      <c r="A37" s="38"/>
      <c r="B37" s="38"/>
      <c r="C37" s="38"/>
      <c r="D37" s="38"/>
      <c r="E37" s="38"/>
      <c r="F37" s="38"/>
      <c r="G37" s="38"/>
      <c r="H37" s="38"/>
      <c r="I37" s="38"/>
      <c r="J37" s="38"/>
      <c r="K37" s="38"/>
      <c r="L37" s="38"/>
      <c r="M37" s="38"/>
      <c r="N37" s="38"/>
      <c r="O37" s="38"/>
      <c r="P37" s="38"/>
    </row>
    <row r="38" spans="1:16" x14ac:dyDescent="0.2">
      <c r="A38" s="38"/>
      <c r="B38" s="38"/>
      <c r="C38" s="38"/>
      <c r="D38" s="38"/>
      <c r="E38" s="38"/>
      <c r="F38" s="38"/>
      <c r="G38" s="38"/>
      <c r="H38" s="38"/>
      <c r="I38" s="38"/>
      <c r="J38" s="38"/>
      <c r="K38" s="38"/>
      <c r="L38" s="38"/>
      <c r="M38" s="38"/>
      <c r="N38" s="38"/>
      <c r="O38" s="38"/>
      <c r="P38" s="38"/>
    </row>
    <row r="39" spans="1:16" x14ac:dyDescent="0.2">
      <c r="A39" s="38"/>
      <c r="B39" s="38"/>
      <c r="C39" s="38"/>
      <c r="D39" s="38"/>
      <c r="E39" s="38"/>
      <c r="F39" s="38"/>
      <c r="G39" s="38"/>
      <c r="H39" s="38"/>
      <c r="I39" s="38"/>
      <c r="J39" s="38"/>
      <c r="K39" s="38"/>
      <c r="L39" s="38"/>
      <c r="M39" s="38"/>
      <c r="N39" s="38"/>
      <c r="O39" s="38"/>
      <c r="P39" s="38"/>
    </row>
    <row r="40" spans="1:16" x14ac:dyDescent="0.2">
      <c r="A40" s="38"/>
      <c r="B40" s="38"/>
      <c r="C40" s="38"/>
      <c r="D40" s="38"/>
      <c r="E40" s="38"/>
      <c r="F40" s="38"/>
      <c r="G40" s="38"/>
      <c r="H40" s="38"/>
      <c r="I40" s="38"/>
      <c r="J40" s="38"/>
      <c r="K40" s="38"/>
      <c r="L40" s="38"/>
      <c r="M40" s="38"/>
      <c r="N40" s="38"/>
      <c r="O40" s="38"/>
      <c r="P40" s="38"/>
    </row>
    <row r="41" spans="1:16" x14ac:dyDescent="0.2">
      <c r="A41" s="38"/>
      <c r="B41" s="38"/>
      <c r="C41" s="38"/>
      <c r="D41" s="38"/>
      <c r="E41" s="38"/>
      <c r="F41" s="38"/>
      <c r="G41" s="38"/>
      <c r="H41" s="38"/>
      <c r="I41" s="38"/>
      <c r="J41" s="38"/>
      <c r="K41" s="38"/>
      <c r="L41" s="38"/>
      <c r="M41" s="38"/>
      <c r="N41" s="38"/>
      <c r="O41" s="38"/>
      <c r="P41" s="38"/>
    </row>
    <row r="42" spans="1:16" x14ac:dyDescent="0.2">
      <c r="A42" s="38"/>
      <c r="B42" s="38"/>
      <c r="C42" s="38"/>
      <c r="D42" s="38"/>
      <c r="E42" s="38"/>
      <c r="F42" s="38"/>
      <c r="G42" s="38"/>
      <c r="H42" s="38"/>
      <c r="I42" s="38"/>
      <c r="J42" s="38"/>
      <c r="K42" s="38"/>
      <c r="L42" s="38"/>
      <c r="M42" s="38"/>
      <c r="N42" s="38"/>
      <c r="O42" s="38"/>
      <c r="P42" s="38"/>
    </row>
    <row r="43" spans="1:16" x14ac:dyDescent="0.2">
      <c r="A43" s="38"/>
      <c r="B43" s="38"/>
      <c r="C43" s="38"/>
      <c r="D43" s="38"/>
      <c r="E43" s="38"/>
      <c r="F43" s="38"/>
      <c r="G43" s="38"/>
      <c r="H43" s="38"/>
      <c r="I43" s="38"/>
      <c r="J43" s="38"/>
      <c r="K43" s="38"/>
      <c r="L43" s="38"/>
      <c r="M43" s="38"/>
      <c r="N43" s="38"/>
      <c r="O43" s="38"/>
      <c r="P43" s="38"/>
    </row>
    <row r="44" spans="1:16" x14ac:dyDescent="0.2">
      <c r="A44" s="38"/>
      <c r="B44" s="38"/>
      <c r="C44" s="38"/>
      <c r="D44" s="38"/>
      <c r="E44" s="38"/>
      <c r="F44" s="38"/>
      <c r="G44" s="38"/>
      <c r="H44" s="38"/>
      <c r="I44" s="38"/>
      <c r="J44" s="38"/>
      <c r="K44" s="38"/>
      <c r="L44" s="38"/>
      <c r="M44" s="38"/>
      <c r="N44" s="38"/>
      <c r="O44" s="38"/>
      <c r="P44" s="38"/>
    </row>
    <row r="45" spans="1:16" x14ac:dyDescent="0.2">
      <c r="A45" s="38"/>
      <c r="B45" s="38"/>
      <c r="C45" s="38"/>
      <c r="D45" s="38"/>
      <c r="E45" s="38"/>
      <c r="F45" s="38"/>
      <c r="G45" s="38"/>
      <c r="H45" s="38"/>
      <c r="I45" s="38"/>
      <c r="J45" s="38"/>
      <c r="K45" s="38"/>
      <c r="L45" s="38"/>
      <c r="M45" s="38"/>
      <c r="N45" s="38"/>
      <c r="O45" s="38"/>
      <c r="P45" s="38"/>
    </row>
    <row r="46" spans="1:16" x14ac:dyDescent="0.2">
      <c r="A46" s="38"/>
      <c r="B46" s="38"/>
      <c r="C46" s="38"/>
      <c r="D46" s="38"/>
      <c r="E46" s="38"/>
      <c r="F46" s="38"/>
      <c r="G46" s="38"/>
      <c r="H46" s="38"/>
      <c r="I46" s="38"/>
      <c r="J46" s="38"/>
      <c r="K46" s="38"/>
      <c r="L46" s="38"/>
      <c r="M46" s="38"/>
      <c r="N46" s="38"/>
      <c r="O46" s="38"/>
      <c r="P46" s="38"/>
    </row>
    <row r="47" spans="1:16" x14ac:dyDescent="0.2">
      <c r="A47" s="38"/>
      <c r="B47" s="38"/>
      <c r="C47" s="38"/>
      <c r="D47" s="38"/>
      <c r="E47" s="38"/>
      <c r="F47" s="38"/>
      <c r="G47" s="38"/>
      <c r="H47" s="38"/>
      <c r="I47" s="38"/>
      <c r="J47" s="38"/>
      <c r="K47" s="38"/>
      <c r="L47" s="38"/>
      <c r="M47" s="38"/>
      <c r="N47" s="38"/>
      <c r="O47" s="38"/>
      <c r="P47" s="38"/>
    </row>
    <row r="48" spans="1:16" x14ac:dyDescent="0.2">
      <c r="A48" s="38"/>
      <c r="B48" s="38"/>
      <c r="C48" s="38"/>
      <c r="D48" s="38"/>
      <c r="E48" s="38"/>
      <c r="F48" s="38"/>
      <c r="G48" s="38"/>
      <c r="H48" s="38"/>
      <c r="I48" s="38"/>
      <c r="J48" s="38"/>
      <c r="K48" s="38"/>
      <c r="L48" s="38"/>
      <c r="M48" s="38"/>
      <c r="N48" s="38"/>
      <c r="O48" s="38"/>
      <c r="P48" s="38"/>
    </row>
    <row r="49" spans="1:16" x14ac:dyDescent="0.2">
      <c r="A49" s="38"/>
      <c r="B49" s="38"/>
      <c r="C49" s="38"/>
      <c r="D49" s="38"/>
      <c r="E49" s="38"/>
      <c r="F49" s="38"/>
      <c r="G49" s="38"/>
      <c r="H49" s="38"/>
      <c r="I49" s="38"/>
      <c r="J49" s="38"/>
      <c r="K49" s="38"/>
      <c r="L49" s="38"/>
      <c r="M49" s="38"/>
      <c r="N49" s="38"/>
      <c r="O49" s="38"/>
      <c r="P49" s="38"/>
    </row>
    <row r="50" spans="1:16" x14ac:dyDescent="0.2">
      <c r="A50" s="38"/>
      <c r="B50" s="38"/>
      <c r="C50" s="38"/>
      <c r="D50" s="38"/>
      <c r="E50" s="38"/>
      <c r="F50" s="38"/>
      <c r="G50" s="38"/>
      <c r="H50" s="38"/>
      <c r="I50" s="38"/>
      <c r="J50" s="38"/>
      <c r="K50" s="38"/>
      <c r="L50" s="38"/>
      <c r="M50" s="38"/>
      <c r="N50" s="38"/>
      <c r="O50" s="38"/>
      <c r="P50" s="38"/>
    </row>
    <row r="51" spans="1:16" x14ac:dyDescent="0.2">
      <c r="A51" s="38"/>
      <c r="B51" s="38"/>
      <c r="C51" s="38"/>
      <c r="D51" s="38"/>
      <c r="E51" s="38"/>
      <c r="F51" s="38"/>
      <c r="G51" s="38"/>
      <c r="H51" s="38"/>
      <c r="I51" s="38"/>
      <c r="J51" s="38"/>
      <c r="K51" s="38"/>
      <c r="L51" s="38"/>
      <c r="M51" s="38"/>
      <c r="N51" s="38"/>
      <c r="O51" s="38"/>
      <c r="P51" s="38"/>
    </row>
    <row r="52" spans="1:16" x14ac:dyDescent="0.2">
      <c r="A52" s="38"/>
      <c r="B52" s="38"/>
      <c r="C52" s="38"/>
      <c r="D52" s="38"/>
      <c r="E52" s="38"/>
      <c r="F52" s="38"/>
      <c r="G52" s="38"/>
      <c r="H52" s="38"/>
      <c r="I52" s="38"/>
      <c r="J52" s="38"/>
      <c r="K52" s="38"/>
      <c r="L52" s="38"/>
      <c r="M52" s="38"/>
      <c r="N52" s="38"/>
      <c r="O52" s="38"/>
      <c r="P52" s="38"/>
    </row>
    <row r="53" spans="1:16" x14ac:dyDescent="0.2">
      <c r="A53" s="38"/>
      <c r="B53" s="38"/>
      <c r="C53" s="38"/>
      <c r="D53" s="38"/>
      <c r="E53" s="38"/>
      <c r="F53" s="38"/>
      <c r="G53" s="38"/>
      <c r="H53" s="38"/>
      <c r="I53" s="38"/>
      <c r="J53" s="38"/>
      <c r="K53" s="38"/>
      <c r="L53" s="38"/>
      <c r="M53" s="38"/>
      <c r="N53" s="38"/>
      <c r="O53" s="38"/>
      <c r="P53" s="38"/>
    </row>
    <row r="54" spans="1:16" x14ac:dyDescent="0.2">
      <c r="A54" s="38"/>
      <c r="B54" s="38"/>
      <c r="C54" s="38"/>
      <c r="D54" s="38"/>
      <c r="E54" s="38"/>
      <c r="F54" s="38"/>
      <c r="G54" s="38"/>
      <c r="H54" s="38"/>
      <c r="I54" s="38"/>
      <c r="J54" s="38"/>
      <c r="K54" s="38"/>
      <c r="L54" s="38"/>
      <c r="M54" s="38"/>
      <c r="N54" s="38"/>
      <c r="O54" s="38"/>
      <c r="P54" s="38"/>
    </row>
    <row r="55" spans="1:16" x14ac:dyDescent="0.2">
      <c r="A55" s="38"/>
      <c r="B55" s="38"/>
      <c r="C55" s="38"/>
      <c r="D55" s="38"/>
      <c r="E55" s="38"/>
      <c r="F55" s="38"/>
      <c r="G55" s="38"/>
      <c r="H55" s="38"/>
      <c r="I55" s="38"/>
      <c r="J55" s="38"/>
      <c r="K55" s="38"/>
      <c r="L55" s="38"/>
      <c r="M55" s="38"/>
      <c r="N55" s="38"/>
      <c r="O55" s="38"/>
      <c r="P55" s="38"/>
    </row>
    <row r="56" spans="1:16" x14ac:dyDescent="0.2">
      <c r="A56" s="38"/>
      <c r="B56" s="38"/>
      <c r="C56" s="38"/>
      <c r="D56" s="38"/>
      <c r="E56" s="38"/>
      <c r="F56" s="38"/>
      <c r="G56" s="38"/>
      <c r="H56" s="38"/>
      <c r="I56" s="38"/>
      <c r="J56" s="38"/>
      <c r="K56" s="38"/>
      <c r="L56" s="38"/>
      <c r="M56" s="38"/>
      <c r="N56" s="38"/>
      <c r="O56" s="38"/>
      <c r="P56" s="38"/>
    </row>
    <row r="57" spans="1:16" x14ac:dyDescent="0.2">
      <c r="A57" s="38"/>
      <c r="B57" s="38"/>
      <c r="C57" s="38"/>
      <c r="D57" s="38"/>
      <c r="E57" s="38"/>
      <c r="F57" s="38"/>
      <c r="G57" s="38"/>
      <c r="H57" s="38"/>
      <c r="I57" s="38"/>
      <c r="J57" s="38"/>
      <c r="K57" s="38"/>
      <c r="L57" s="38"/>
      <c r="M57" s="38"/>
      <c r="N57" s="38"/>
      <c r="O57" s="38"/>
      <c r="P57" s="38"/>
    </row>
    <row r="58" spans="1:16" x14ac:dyDescent="0.2">
      <c r="A58" s="38"/>
      <c r="B58" s="38"/>
      <c r="C58" s="38"/>
      <c r="D58" s="38"/>
      <c r="E58" s="38"/>
      <c r="F58" s="38"/>
      <c r="G58" s="38"/>
      <c r="H58" s="38"/>
      <c r="I58" s="38"/>
      <c r="J58" s="38"/>
      <c r="K58" s="38"/>
      <c r="L58" s="38"/>
      <c r="M58" s="38"/>
      <c r="N58" s="38"/>
      <c r="O58" s="38"/>
      <c r="P58" s="38"/>
    </row>
    <row r="59" spans="1:16" x14ac:dyDescent="0.2">
      <c r="A59" s="38"/>
      <c r="B59" s="38"/>
      <c r="C59" s="38"/>
      <c r="D59" s="38"/>
      <c r="E59" s="38"/>
      <c r="F59" s="38"/>
      <c r="G59" s="38"/>
      <c r="H59" s="38"/>
      <c r="I59" s="38"/>
      <c r="J59" s="38"/>
      <c r="K59" s="38"/>
      <c r="L59" s="38"/>
      <c r="M59" s="38"/>
      <c r="N59" s="38"/>
      <c r="O59" s="38"/>
      <c r="P59" s="38"/>
    </row>
    <row r="60" spans="1:16" x14ac:dyDescent="0.2">
      <c r="A60" s="38"/>
      <c r="B60" s="38"/>
      <c r="C60" s="38"/>
      <c r="D60" s="38"/>
      <c r="E60" s="38"/>
      <c r="F60" s="38"/>
      <c r="G60" s="38"/>
      <c r="H60" s="38"/>
      <c r="I60" s="38"/>
      <c r="J60" s="38"/>
      <c r="K60" s="38"/>
      <c r="L60" s="38"/>
      <c r="M60" s="38"/>
      <c r="N60" s="38"/>
      <c r="O60" s="38"/>
      <c r="P60" s="38"/>
    </row>
    <row r="61" spans="1:16" x14ac:dyDescent="0.2">
      <c r="A61" s="38"/>
      <c r="B61" s="38"/>
      <c r="C61" s="38"/>
      <c r="D61" s="38"/>
      <c r="E61" s="38"/>
      <c r="F61" s="38"/>
      <c r="G61" s="38"/>
      <c r="H61" s="38"/>
      <c r="I61" s="38"/>
      <c r="J61" s="38"/>
      <c r="K61" s="38"/>
      <c r="L61" s="38"/>
      <c r="M61" s="38"/>
      <c r="N61" s="38"/>
      <c r="O61" s="38"/>
      <c r="P61" s="38"/>
    </row>
    <row r="62" spans="1:16" x14ac:dyDescent="0.2">
      <c r="O62" s="34"/>
      <c r="P62" s="34"/>
    </row>
    <row r="63" spans="1:16" x14ac:dyDescent="0.2">
      <c r="O63" s="34"/>
      <c r="P63" s="34"/>
    </row>
    <row r="64" spans="1:16" x14ac:dyDescent="0.2">
      <c r="O64" s="34"/>
      <c r="P64" s="34"/>
    </row>
    <row r="65" spans="15:16" x14ac:dyDescent="0.2">
      <c r="O65" s="34"/>
      <c r="P65" s="34"/>
    </row>
    <row r="66" spans="15:16" x14ac:dyDescent="0.2">
      <c r="O66" s="34"/>
      <c r="P66" s="34"/>
    </row>
    <row r="67" spans="15:16" x14ac:dyDescent="0.2">
      <c r="O67" s="34"/>
      <c r="P67" s="34"/>
    </row>
    <row r="68" spans="15:16" x14ac:dyDescent="0.2">
      <c r="O68" s="34"/>
      <c r="P68" s="34"/>
    </row>
    <row r="69" spans="15:16" x14ac:dyDescent="0.2">
      <c r="O69" s="34"/>
      <c r="P69" s="34"/>
    </row>
    <row r="70" spans="15:16" x14ac:dyDescent="0.2">
      <c r="O70" s="34"/>
      <c r="P70" s="34"/>
    </row>
    <row r="71" spans="15:16" x14ac:dyDescent="0.2">
      <c r="O71" s="34"/>
      <c r="P71" s="34"/>
    </row>
    <row r="72" spans="15:16" x14ac:dyDescent="0.2">
      <c r="O72" s="34"/>
      <c r="P72" s="34"/>
    </row>
    <row r="73" spans="15:16" x14ac:dyDescent="0.2">
      <c r="O73" s="34"/>
      <c r="P73" s="34"/>
    </row>
    <row r="74" spans="15:16" x14ac:dyDescent="0.2">
      <c r="O74" s="34"/>
      <c r="P74" s="34"/>
    </row>
    <row r="75" spans="15:16" x14ac:dyDescent="0.2">
      <c r="O75" s="34"/>
      <c r="P75" s="34"/>
    </row>
    <row r="76" spans="15:16" x14ac:dyDescent="0.2">
      <c r="O76" s="34"/>
      <c r="P76" s="34"/>
    </row>
    <row r="77" spans="15:16" x14ac:dyDescent="0.2">
      <c r="O77" s="34"/>
      <c r="P77" s="34"/>
    </row>
    <row r="78" spans="15:16" x14ac:dyDescent="0.2">
      <c r="O78" s="34"/>
      <c r="P78" s="34"/>
    </row>
    <row r="79" spans="15:16" x14ac:dyDescent="0.2">
      <c r="O79" s="34"/>
      <c r="P79" s="34"/>
    </row>
    <row r="80" spans="15:16" x14ac:dyDescent="0.2">
      <c r="O80" s="34"/>
      <c r="P80" s="34"/>
    </row>
    <row r="81" spans="15:16" x14ac:dyDescent="0.2">
      <c r="O81" s="34"/>
      <c r="P81" s="34"/>
    </row>
    <row r="82" spans="15:16" x14ac:dyDescent="0.2">
      <c r="O82" s="34"/>
      <c r="P82" s="34"/>
    </row>
    <row r="83" spans="15:16" x14ac:dyDescent="0.2">
      <c r="O83" s="34"/>
      <c r="P83" s="34"/>
    </row>
    <row r="84" spans="15:16" x14ac:dyDescent="0.2">
      <c r="O84" s="34"/>
      <c r="P84" s="34"/>
    </row>
    <row r="85" spans="15:16" x14ac:dyDescent="0.2">
      <c r="O85" s="34"/>
      <c r="P85" s="34"/>
    </row>
    <row r="86" spans="15:16" x14ac:dyDescent="0.2">
      <c r="O86" s="34"/>
      <c r="P86" s="34"/>
    </row>
    <row r="87" spans="15:16" x14ac:dyDescent="0.2">
      <c r="O87" s="34"/>
      <c r="P87" s="34"/>
    </row>
    <row r="88" spans="15:16" x14ac:dyDescent="0.2">
      <c r="O88" s="34"/>
      <c r="P88" s="34"/>
    </row>
    <row r="89" spans="15:16" x14ac:dyDescent="0.2">
      <c r="O89" s="34"/>
      <c r="P89" s="34"/>
    </row>
    <row r="90" spans="15:16" x14ac:dyDescent="0.2">
      <c r="O90" s="34"/>
      <c r="P90" s="34"/>
    </row>
    <row r="91" spans="15:16" x14ac:dyDescent="0.2">
      <c r="O91" s="34"/>
      <c r="P91" s="34"/>
    </row>
    <row r="92" spans="15:16" x14ac:dyDescent="0.2">
      <c r="O92" s="34"/>
      <c r="P92" s="34"/>
    </row>
    <row r="93" spans="15:16" x14ac:dyDescent="0.2">
      <c r="O93" s="34"/>
      <c r="P93" s="34"/>
    </row>
    <row r="94" spans="15:16" x14ac:dyDescent="0.2">
      <c r="O94" s="34"/>
      <c r="P94" s="34"/>
    </row>
    <row r="95" spans="15:16" x14ac:dyDescent="0.2">
      <c r="O95" s="34"/>
      <c r="P95" s="34"/>
    </row>
    <row r="96" spans="15:16" x14ac:dyDescent="0.2">
      <c r="O96" s="34"/>
      <c r="P96" s="34"/>
    </row>
    <row r="97" spans="15:16" x14ac:dyDescent="0.2">
      <c r="O97" s="34"/>
      <c r="P97" s="34"/>
    </row>
    <row r="98" spans="15:16" x14ac:dyDescent="0.2">
      <c r="O98" s="34"/>
      <c r="P98" s="34"/>
    </row>
    <row r="99" spans="15:16" x14ac:dyDescent="0.2">
      <c r="O99" s="34"/>
      <c r="P99" s="34"/>
    </row>
    <row r="100" spans="15:16" x14ac:dyDescent="0.2">
      <c r="O100" s="34"/>
      <c r="P100" s="34"/>
    </row>
    <row r="101" spans="15:16" x14ac:dyDescent="0.2">
      <c r="O101" s="34"/>
      <c r="P101" s="34"/>
    </row>
    <row r="102" spans="15:16" x14ac:dyDescent="0.2">
      <c r="O102" s="34"/>
      <c r="P102" s="34"/>
    </row>
    <row r="103" spans="15:16" x14ac:dyDescent="0.2">
      <c r="O103" s="34"/>
      <c r="P103" s="34"/>
    </row>
    <row r="104" spans="15:16" x14ac:dyDescent="0.2">
      <c r="O104" s="34"/>
      <c r="P104" s="34"/>
    </row>
    <row r="105" spans="15:16" x14ac:dyDescent="0.2">
      <c r="O105" s="34"/>
      <c r="P105" s="34"/>
    </row>
    <row r="106" spans="15:16" x14ac:dyDescent="0.2">
      <c r="O106" s="34"/>
      <c r="P106" s="34"/>
    </row>
    <row r="107" spans="15:16" x14ac:dyDescent="0.2">
      <c r="O107" s="34"/>
      <c r="P107" s="34"/>
    </row>
    <row r="108" spans="15:16" x14ac:dyDescent="0.2">
      <c r="O108" s="34"/>
      <c r="P108" s="34"/>
    </row>
    <row r="109" spans="15:16" x14ac:dyDescent="0.2">
      <c r="O109" s="34"/>
      <c r="P109" s="34"/>
    </row>
    <row r="110" spans="15:16" x14ac:dyDescent="0.2">
      <c r="O110" s="34"/>
      <c r="P110" s="34"/>
    </row>
  </sheetData>
  <mergeCells count="10">
    <mergeCell ref="N24:O24"/>
    <mergeCell ref="N25:O25"/>
    <mergeCell ref="A1:XFD2"/>
    <mergeCell ref="N3:O3"/>
    <mergeCell ref="N4:O4"/>
    <mergeCell ref="N13:O13"/>
    <mergeCell ref="N18:O18"/>
    <mergeCell ref="A21:C21"/>
    <mergeCell ref="D21:E21"/>
    <mergeCell ref="A22:E30"/>
  </mergeCells>
  <hyperlinks>
    <hyperlink ref="F9" r:id="rId1" display="https://finbox.com/NYSE:BROS/explorer/revenue_proj" xr:uid="{17A370B3-D3DF-1544-B8D2-DA8334966E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2023-12-09T12:15:40Z</dcterms:modified>
</cp:coreProperties>
</file>