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Consumer/"/>
    </mc:Choice>
  </mc:AlternateContent>
  <xr:revisionPtr revIDLastSave="0" documentId="13_ncr:1_{6A7FCEE1-D538-2643-AD46-A6DCFECFF522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P129" i="1"/>
  <c r="O10" i="2"/>
  <c r="O9" i="2"/>
  <c r="O7" i="2"/>
  <c r="G7" i="2"/>
  <c r="E7" i="2"/>
  <c r="O6" i="2"/>
  <c r="O19" i="2" s="1"/>
  <c r="G6" i="2"/>
  <c r="E6" i="2"/>
  <c r="O5" i="2"/>
  <c r="G5" i="2"/>
  <c r="C4" i="2"/>
  <c r="A4" i="2"/>
  <c r="C3" i="2"/>
  <c r="A22" i="2" a="1"/>
  <c r="A22" i="2" s="1"/>
  <c r="D21" i="2" a="1"/>
  <c r="D21" i="2" s="1"/>
  <c r="A21" i="2" a="1"/>
  <c r="A21" i="2" s="1"/>
  <c r="E17" i="2"/>
  <c r="D17" i="2"/>
  <c r="C17" i="2"/>
  <c r="B17" i="2"/>
  <c r="E16" i="2"/>
  <c r="D16" i="2"/>
  <c r="C16" i="2"/>
  <c r="E5" i="2" s="1"/>
  <c r="O15" i="2" a="1"/>
  <c r="O15" i="2" s="1"/>
  <c r="E14" i="2"/>
  <c r="D14" i="2"/>
  <c r="C14" i="2"/>
  <c r="B14" i="2"/>
  <c r="E13" i="2"/>
  <c r="D13" i="2"/>
  <c r="C13" i="2"/>
  <c r="E11" i="2"/>
  <c r="D11" i="2"/>
  <c r="C11" i="2"/>
  <c r="O11" i="2"/>
  <c r="K8" i="2" a="1"/>
  <c r="K8" i="2" s="1"/>
  <c r="I15" i="2" s="1"/>
  <c r="A5" i="2" a="1"/>
  <c r="A5" i="2" s="1"/>
  <c r="K4" i="2" a="1"/>
  <c r="K4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K5" i="2" l="1" a="1"/>
  <c r="K5" i="2" s="1"/>
  <c r="A3" i="2" a="1"/>
  <c r="A3" i="2" s="1"/>
  <c r="O20" i="2" s="1"/>
  <c r="O21" i="2" s="1"/>
  <c r="O22" i="2" s="1"/>
  <c r="J15" i="2"/>
  <c r="J16" i="2" s="1"/>
  <c r="G10" i="2"/>
  <c r="F10" i="2"/>
  <c r="H12" i="2"/>
  <c r="I10" i="2"/>
  <c r="I17" i="2" s="1"/>
  <c r="J12" i="2"/>
  <c r="H10" i="2"/>
  <c r="I12" i="2"/>
  <c r="J10" i="2"/>
  <c r="F15" i="2"/>
  <c r="F16" i="2" s="1"/>
  <c r="G15" i="2"/>
  <c r="G12" i="2"/>
  <c r="H15" i="2"/>
  <c r="I16" i="2" s="1"/>
  <c r="F12" i="2"/>
  <c r="F13" i="2" s="1"/>
  <c r="E4" i="2"/>
  <c r="E3" i="2"/>
  <c r="G4" i="2"/>
  <c r="O8" i="2"/>
  <c r="O12" i="2" s="1"/>
  <c r="K3" i="2" l="1"/>
  <c r="H11" i="2"/>
  <c r="A6" i="2"/>
  <c r="G16" i="2"/>
  <c r="G14" i="2"/>
  <c r="J13" i="2"/>
  <c r="F14" i="2"/>
  <c r="C5" i="2" s="1"/>
  <c r="F17" i="2"/>
  <c r="C6" i="2" s="1"/>
  <c r="H13" i="2"/>
  <c r="I11" i="2"/>
  <c r="A7" i="2"/>
  <c r="H16" i="2"/>
  <c r="J17" i="2"/>
  <c r="J11" i="2"/>
  <c r="C7" i="2"/>
  <c r="G13" i="2"/>
  <c r="G11" i="2"/>
  <c r="F11" i="2"/>
  <c r="H14" i="2"/>
  <c r="I13" i="2"/>
  <c r="G17" i="2"/>
  <c r="J14" i="2"/>
  <c r="H17" i="2"/>
  <c r="I14" i="2"/>
  <c r="O23" i="2"/>
  <c r="K16" i="2" l="1"/>
  <c r="K13" i="2"/>
  <c r="K11" i="2"/>
  <c r="S129" i="1" l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O14" i="2" l="1"/>
  <c r="O17" i="2" s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4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<sst xmlns="http://schemas.openxmlformats.org/spreadsheetml/2006/main" count="1124" uniqueCount="254">
  <si>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</si>
  <si>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</si>
  <si>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</si>
  <si>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</si>
  <si>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</si>
  <si>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</si>
  <si>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</si>
  <si>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</si>
  <si>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</si>
  <si>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</si>
  <si>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</si>
  <si>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</si>
  <si>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</si>
  <si>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</si>
  <si>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2021 Q2</t>
  </si>
  <si>
    <t>2022 Q1</t>
  </si>
  <si>
    <t>2022 Q2</t>
  </si>
  <si>
    <t>2023 Q1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</si>
  <si>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</si>
  <si>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</si>
  <si>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</si>
  <si>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</si>
  <si>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</si>
  <si>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</si>
  <si>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</si>
  <si>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</si>
  <si>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</si>
  <si>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</si>
  <si>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</si>
  <si>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</si>
  <si>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</si>
  <si>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</si>
  <si>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</si>
  <si>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</si>
  <si>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</si>
  <si>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</si>
  <si>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</si>
  <si>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</si>
  <si>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</si>
  <si>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</si>
  <si>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</si>
  <si>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</si>
  <si>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</si>
  <si>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</si>
  <si>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</si>
  <si>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</si>
  <si>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</si>
  <si>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</si>
  <si>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</si>
  <si>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</si>
  <si>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</si>
  <si>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</si>
  <si>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</si>
  <si>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</si>
  <si>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</si>
  <si>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</si>
  <si>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</si>
  <si>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</si>
  <si>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</si>
  <si>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</si>
  <si>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</si>
  <si>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</si>
  <si>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</si>
  <si>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</si>
  <si>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</si>
  <si>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</si>
  <si>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</si>
  <si>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</si>
  <si>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</si>
  <si>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</si>
  <si>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</si>
  <si>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</si>
  <si>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</si>
  <si>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</si>
  <si>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</si>
  <si>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</si>
  <si>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</si>
  <si>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</si>
  <si>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</si>
  <si>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</si>
  <si>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</si>
  <si>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</si>
  <si>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</si>
  <si>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</si>
  <si>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</si>
  <si>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</si>
  <si>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</si>
  <si>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</si>
  <si>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</si>
  <si>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</si>
  <si>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</si>
  <si>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</si>
  <si>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</si>
  <si>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</si>
  <si>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</si>
  <si>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</si>
  <si>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</si>
  <si>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</si>
  <si>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</si>
  <si>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</si>
  <si>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</si>
  <si>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</si>
  <si>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</si>
  <si>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</si>
  <si>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</si>
  <si>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</si>
  <si>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</si>
  <si>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</si>
  <si>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</si>
  <si>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</si>
  <si>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</si>
  <si>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</si>
  <si>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</si>
  <si>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</si>
  <si>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</si>
  <si>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</si>
  <si>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</si>
  <si>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</si>
  <si>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</si>
  <si>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</si>
  <si>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</si>
  <si>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</si>
  <si>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</si>
  <si>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</si>
  <si>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</si>
  <si>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</si>
  <si>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</si>
  <si>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</si>
  <si>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</si>
  <si>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</si>
  <si>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</si>
  <si>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</si>
  <si>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</si>
  <si>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</si>
  <si>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</si>
  <si>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</si>
  <si>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</si>
  <si>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</si>
  <si>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</si>
  <si>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</si>
  <si>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</si>
  <si>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</si>
  <si>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</si>
  <si>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</si>
  <si>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</si>
  <si>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</si>
  <si>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</si>
  <si>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</si>
  <si>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</si>
  <si>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</si>
  <si>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</si>
  <si>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</si>
  <si>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</si>
  <si>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</si>
  <si>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</si>
  <si>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</si>
  <si>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</si>
  <si>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</si>
  <si>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</si>
  <si>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</si>
  <si>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</si>
  <si>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</si>
  <si>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</si>
  <si>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</si>
  <si>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</si>
  <si>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</si>
  <si>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</si>
  <si>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</si>
  <si>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</si>
  <si>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</si>
  <si>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</si>
  <si>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</si>
  <si>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</si>
  <si>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</si>
  <si>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</si>
  <si>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</si>
  <si>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</si>
  <si>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</si>
  <si>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</si>
  <si>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</si>
  <si>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</si>
  <si>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</si>
  <si>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</si>
  <si>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</si>
  <si>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</si>
  <si>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</si>
  <si>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</si>
  <si>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</si>
  <si>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</si>
  <si>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</si>
  <si>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</si>
  <si>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</si>
  <si>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</si>
  <si>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</si>
  <si>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</si>
  <si>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</si>
  <si>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</si>
  <si>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</si>
  <si>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</si>
  <si>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</si>
  <si>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</si>
  <si>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</si>
  <si>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</si>
  <si>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</si>
  <si>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</si>
  <si>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</si>
  <si>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</si>
  <si>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</si>
  <si>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</si>
  <si>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</si>
  <si>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</si>
  <si>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</si>
  <si>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</si>
  <si>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(%)</t>
  </si>
  <si>
    <t>Cost of Debt</t>
  </si>
  <si>
    <t>Total Shares</t>
  </si>
  <si>
    <t>Net Income Margin</t>
  </si>
  <si>
    <t>3Y FCF CAGR</t>
  </si>
  <si>
    <t>Cash + Securities</t>
  </si>
  <si>
    <t>Equity Value</t>
  </si>
  <si>
    <t>Interest Expense</t>
  </si>
  <si>
    <t>Fwd P/S</t>
  </si>
  <si>
    <t>ROE</t>
  </si>
  <si>
    <t>Total Debt</t>
  </si>
  <si>
    <t>Discount Rate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</si>
  <si>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</si>
  <si>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</si>
  <si>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</si>
  <si>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</si>
  <si>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</si>
  <si>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</si>
  <si>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</si>
  <si>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</si>
  <si>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</si>
  <si>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</si>
  <si>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</si>
  <si>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</si>
  <si>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</si>
  <si>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</si>
  <si>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</si>
  <si>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Profit Margin</t>
  </si>
  <si>
    <t>Risk Free Rate</t>
  </si>
  <si>
    <t>Fwd FCF CAGR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</si>
  <si>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</si>
  <si>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</si>
  <si>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</si>
  <si>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</si>
  <si>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</si>
  <si>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</si>
  <si>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</si>
  <si>
    <t>USD</t>
  </si>
  <si>
    <t>Intrinsic Value (USD)</t>
  </si>
  <si>
    <t>Market Price (USD)</t>
  </si>
  <si>
    <t>Market Cap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</si>
</sst>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4" x14ac:knownFonts="1">
    <font>
      <sz val="11"/>
      <name val="Calibri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sz val="13"/>
      <name val="Arial"/>
      <family val="2"/>
    </font>
    <font>
      <i/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2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/>
    <xf numFmtId="3" fontId="4" fillId="0" borderId="0" xfId="0" applyNumberFormat="1" applyFont="1"/>
    <xf numFmtId="3" fontId="5" fillId="4" borderId="0" xfId="0" applyNumberFormat="1" applyFont="1" applyFill="1"/>
    <xf numFmtId="4" fontId="6" fillId="0" borderId="0" xfId="0" applyNumberFormat="1" applyFont="1"/>
    <xf numFmtId="4" fontId="7" fillId="5" borderId="0" xfId="0" applyNumberFormat="1" applyFont="1" applyFill="1"/>
    <xf numFmtId="0" fontId="9" fillId="6" borderId="1" xfId="0" applyFont="1" applyFill="1" applyBorder="1" applyAlignment="1">
      <alignment horizontal="left" vertical="center" indent="1"/>
    </xf>
    <xf numFmtId="164" fontId="9" fillId="6" borderId="1" xfId="0" applyNumberFormat="1" applyFont="1" applyFill="1" applyBorder="1"/>
    <xf numFmtId="9" fontId="9" fillId="6" borderId="1" xfId="0" applyNumberFormat="1" applyFont="1" applyFill="1" applyBorder="1" applyAlignment="1">
      <alignment horizontal="right" vertical="center"/>
    </xf>
    <xf numFmtId="0" fontId="9" fillId="6" borderId="1" xfId="0" applyFont="1" applyFill="1" applyBorder="1" applyAlignment="1">
      <alignment horizontal="left" vertical="center" indent="2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64" fontId="9" fillId="6" borderId="2" xfId="0" applyNumberFormat="1" applyFont="1" applyFill="1" applyBorder="1"/>
    <xf numFmtId="9" fontId="9" fillId="6" borderId="2" xfId="0" applyNumberFormat="1" applyFont="1" applyFill="1" applyBorder="1" applyAlignment="1">
      <alignment horizontal="right" vertical="center"/>
    </xf>
    <xf numFmtId="0" fontId="3" fillId="7" borderId="3" xfId="0" applyFont="1" applyFill="1" applyBorder="1" applyAlignment="1">
      <alignment vertical="center"/>
    </xf>
    <xf numFmtId="9" fontId="3" fillId="7" borderId="3" xfId="1" applyFont="1" applyFill="1" applyBorder="1" applyAlignment="1">
      <alignment vertical="center"/>
    </xf>
    <xf numFmtId="165" fontId="9" fillId="6" borderId="1" xfId="0" applyNumberFormat="1" applyFont="1" applyFill="1" applyBorder="1" applyAlignment="1">
      <alignment horizontal="right" vertical="center"/>
    </xf>
    <xf numFmtId="3" fontId="3" fillId="0" borderId="0" xfId="0" applyNumberFormat="1" applyFont="1"/>
    <xf numFmtId="3" fontId="3" fillId="5" borderId="0" xfId="0" applyNumberFormat="1" applyFont="1" applyFill="1"/>
    <xf numFmtId="0" fontId="9" fillId="8" borderId="1" xfId="0" applyFont="1" applyFill="1" applyBorder="1" applyAlignment="1">
      <alignment horizontal="left" vertical="center"/>
    </xf>
    <xf numFmtId="164" fontId="9" fillId="8" borderId="1" xfId="0" applyNumberFormat="1" applyFont="1" applyFill="1" applyBorder="1"/>
    <xf numFmtId="9" fontId="9" fillId="8" borderId="1" xfId="0" applyNumberFormat="1" applyFont="1" applyFill="1" applyBorder="1" applyAlignment="1">
      <alignment horizontal="right" vertical="center"/>
    </xf>
    <xf numFmtId="0" fontId="3" fillId="0" borderId="2" xfId="0" applyFont="1" applyBorder="1"/>
    <xf numFmtId="10" fontId="3" fillId="0" borderId="2" xfId="1" applyNumberFormat="1" applyFont="1" applyBorder="1"/>
    <xf numFmtId="10" fontId="3" fillId="5" borderId="2" xfId="1" applyNumberFormat="1" applyFont="1" applyFill="1" applyBorder="1"/>
    <xf numFmtId="3" fontId="4" fillId="0" borderId="4" xfId="0" applyNumberFormat="1" applyFont="1" applyBorder="1"/>
    <xf numFmtId="3" fontId="5" fillId="4" borderId="4" xfId="0" applyNumberFormat="1" applyFont="1" applyFill="1" applyBorder="1"/>
    <xf numFmtId="0" fontId="2" fillId="0" borderId="4" xfId="0" applyFont="1" applyBorder="1"/>
    <xf numFmtId="0" fontId="3" fillId="0" borderId="5" xfId="0" applyFont="1" applyBorder="1"/>
    <xf numFmtId="3" fontId="4" fillId="0" borderId="5" xfId="0" applyNumberFormat="1" applyFont="1" applyBorder="1"/>
    <xf numFmtId="3" fontId="5" fillId="4" borderId="5" xfId="0" applyNumberFormat="1" applyFont="1" applyFill="1" applyBorder="1"/>
    <xf numFmtId="4" fontId="6" fillId="0" borderId="5" xfId="0" applyNumberFormat="1" applyFont="1" applyBorder="1"/>
    <xf numFmtId="4" fontId="7" fillId="5" borderId="5" xfId="0" applyNumberFormat="1" applyFont="1" applyFill="1" applyBorder="1"/>
    <xf numFmtId="0" fontId="2" fillId="0" borderId="5" xfId="0" applyFont="1" applyBorder="1"/>
    <xf numFmtId="164" fontId="3" fillId="9" borderId="6" xfId="0" applyNumberFormat="1" applyFont="1" applyFill="1" applyBorder="1" applyAlignment="1">
      <alignment horizontal="right" vertical="center" indent="1"/>
    </xf>
    <xf numFmtId="9" fontId="10" fillId="10" borderId="7" xfId="1" applyFont="1" applyFill="1" applyBorder="1" applyAlignment="1">
      <alignment horizontal="left" vertical="center" indent="1"/>
    </xf>
    <xf numFmtId="9" fontId="3" fillId="9" borderId="8" xfId="1" applyFont="1" applyFill="1" applyBorder="1" applyAlignment="1">
      <alignment horizontal="right" vertical="center" indent="1"/>
    </xf>
    <xf numFmtId="0" fontId="10" fillId="10" borderId="7" xfId="1" applyNumberFormat="1" applyFont="1" applyFill="1" applyBorder="1" applyAlignment="1">
      <alignment horizontal="left" vertical="center" indent="1"/>
    </xf>
    <xf numFmtId="165" fontId="3" fillId="9" borderId="7" xfId="1" applyNumberFormat="1" applyFont="1" applyFill="1" applyBorder="1" applyAlignment="1">
      <alignment horizontal="right" vertical="center" indent="1"/>
    </xf>
    <xf numFmtId="164" fontId="3" fillId="9" borderId="8" xfId="0" applyNumberFormat="1" applyFont="1" applyFill="1" applyBorder="1" applyAlignment="1">
      <alignment horizontal="right" vertical="center" indent="1"/>
    </xf>
    <xf numFmtId="9" fontId="10" fillId="10" borderId="9" xfId="1" applyFont="1" applyFill="1" applyBorder="1" applyAlignment="1">
      <alignment horizontal="left" vertical="center" indent="1"/>
    </xf>
    <xf numFmtId="10" fontId="3" fillId="9" borderId="8" xfId="1" applyNumberFormat="1" applyFont="1" applyFill="1" applyBorder="1" applyAlignment="1">
      <alignment horizontal="right" vertical="center" indent="1"/>
    </xf>
    <xf numFmtId="0" fontId="10" fillId="10" borderId="10" xfId="1" applyNumberFormat="1" applyFont="1" applyFill="1" applyBorder="1" applyAlignment="1">
      <alignment horizontal="left" vertical="center" indent="1"/>
    </xf>
    <xf numFmtId="0" fontId="8" fillId="11" borderId="0" xfId="0" applyFont="1" applyFill="1"/>
    <xf numFmtId="164" fontId="3" fillId="9" borderId="13" xfId="0" applyNumberFormat="1" applyFont="1" applyFill="1" applyBorder="1" applyAlignment="1">
      <alignment horizontal="right" vertical="center" indent="1"/>
    </xf>
    <xf numFmtId="9" fontId="10" fillId="10" borderId="14" xfId="1" applyFont="1" applyFill="1" applyBorder="1" applyAlignment="1">
      <alignment horizontal="left" vertical="center" indent="1"/>
    </xf>
    <xf numFmtId="9" fontId="3" fillId="9" borderId="15" xfId="1" applyFont="1" applyFill="1" applyBorder="1" applyAlignment="1">
      <alignment horizontal="right" vertical="center" indent="1"/>
    </xf>
    <xf numFmtId="0" fontId="10" fillId="10" borderId="14" xfId="1" applyNumberFormat="1" applyFont="1" applyFill="1" applyBorder="1" applyAlignment="1">
      <alignment horizontal="left" vertical="center" indent="1"/>
    </xf>
    <xf numFmtId="164" fontId="3" fillId="9" borderId="14" xfId="0" applyNumberFormat="1" applyFont="1" applyFill="1" applyBorder="1" applyAlignment="1">
      <alignment horizontal="right" vertical="center" indent="1"/>
    </xf>
    <xf numFmtId="164" fontId="3" fillId="9" borderId="15" xfId="0" applyNumberFormat="1" applyFont="1" applyFill="1" applyBorder="1" applyAlignment="1">
      <alignment horizontal="right" vertical="center" indent="1"/>
    </xf>
    <xf numFmtId="165" fontId="3" fillId="9" borderId="15" xfId="1" applyNumberFormat="1" applyFont="1" applyFill="1" applyBorder="1" applyAlignment="1">
      <alignment horizontal="right" vertical="center" indent="1"/>
    </xf>
    <xf numFmtId="0" fontId="10" fillId="10" borderId="16" xfId="1" applyNumberFormat="1" applyFont="1" applyFill="1" applyBorder="1" applyAlignment="1">
      <alignment horizontal="left" vertical="center" indent="1"/>
    </xf>
    <xf numFmtId="9" fontId="12" fillId="10" borderId="14" xfId="1" applyFont="1" applyFill="1" applyBorder="1" applyAlignment="1">
      <alignment horizontal="left" vertical="center" indent="1"/>
    </xf>
    <xf numFmtId="166" fontId="3" fillId="9" borderId="17" xfId="0" applyNumberFormat="1" applyFont="1" applyFill="1" applyBorder="1" applyAlignment="1">
      <alignment horizontal="right" vertical="center" indent="1"/>
    </xf>
    <xf numFmtId="9" fontId="10" fillId="10" borderId="16" xfId="1" applyFont="1" applyFill="1" applyBorder="1" applyAlignment="1">
      <alignment horizontal="left" vertical="center" indent="1"/>
    </xf>
    <xf numFmtId="0" fontId="13" fillId="12" borderId="18" xfId="0" applyFont="1" applyFill="1" applyBorder="1" applyAlignment="1">
      <alignment horizontal="left" vertical="center" wrapText="1"/>
    </xf>
    <xf numFmtId="164" fontId="14" fillId="12" borderId="14" xfId="0" applyNumberFormat="1" applyFont="1" applyFill="1" applyBorder="1" applyAlignment="1">
      <alignment vertical="center"/>
    </xf>
    <xf numFmtId="167" fontId="3" fillId="9" borderId="13" xfId="0" applyNumberFormat="1" applyFont="1" applyFill="1" applyBorder="1" applyAlignment="1">
      <alignment horizontal="right" vertical="center" indent="1"/>
    </xf>
    <xf numFmtId="165" fontId="3" fillId="9" borderId="17" xfId="1" applyNumberFormat="1" applyFont="1" applyFill="1" applyBorder="1" applyAlignment="1">
      <alignment horizontal="right" vertical="center" indent="1"/>
    </xf>
    <xf numFmtId="166" fontId="2" fillId="13" borderId="15" xfId="0" applyNumberFormat="1" applyFont="1" applyFill="1" applyBorder="1" applyAlignment="1">
      <alignment horizontal="right" vertical="center" indent="1"/>
    </xf>
    <xf numFmtId="9" fontId="15" fillId="10" borderId="16" xfId="1" applyFont="1" applyFill="1" applyBorder="1" applyAlignment="1">
      <alignment horizontal="left" vertical="center" indent="1"/>
    </xf>
    <xf numFmtId="167" fontId="3" fillId="9" borderId="19" xfId="0" applyNumberFormat="1" applyFont="1" applyFill="1" applyBorder="1" applyAlignment="1">
      <alignment horizontal="right" vertical="center" indent="1"/>
    </xf>
    <xf numFmtId="9" fontId="10" fillId="10" borderId="20" xfId="1" applyFont="1" applyFill="1" applyBorder="1" applyAlignment="1">
      <alignment horizontal="left" vertical="center" indent="1"/>
    </xf>
    <xf numFmtId="165" fontId="3" fillId="9" borderId="21" xfId="1" applyNumberFormat="1" applyFont="1" applyFill="1" applyBorder="1" applyAlignment="1">
      <alignment horizontal="right" vertical="center" indent="1"/>
    </xf>
    <xf numFmtId="9" fontId="3" fillId="9" borderId="21" xfId="1" applyFont="1" applyFill="1" applyBorder="1" applyAlignment="1">
      <alignment horizontal="right" vertical="center" indent="1"/>
    </xf>
    <xf numFmtId="2" fontId="3" fillId="9" borderId="20" xfId="0" applyNumberFormat="1" applyFont="1" applyFill="1" applyBorder="1" applyAlignment="1">
      <alignment horizontal="right" vertical="center" indent="1"/>
    </xf>
    <xf numFmtId="0" fontId="10" fillId="10" borderId="20" xfId="1" applyNumberFormat="1" applyFont="1" applyFill="1" applyBorder="1" applyAlignment="1">
      <alignment horizontal="left" vertical="center" indent="1"/>
    </xf>
    <xf numFmtId="165" fontId="3" fillId="14" borderId="21" xfId="1" applyNumberFormat="1" applyFont="1" applyFill="1" applyBorder="1" applyAlignment="1">
      <alignment horizontal="right" vertical="center" indent="1"/>
    </xf>
    <xf numFmtId="9" fontId="16" fillId="10" borderId="20" xfId="1" applyFont="1" applyFill="1" applyBorder="1" applyAlignment="1">
      <alignment horizontal="left" vertical="center" indent="1"/>
    </xf>
    <xf numFmtId="9" fontId="2" fillId="13" borderId="21" xfId="1" applyFont="1" applyFill="1" applyBorder="1" applyAlignment="1">
      <alignment horizontal="right" vertical="center" indent="1"/>
    </xf>
    <xf numFmtId="9" fontId="15" fillId="10" borderId="22" xfId="1" applyFont="1" applyFill="1" applyBorder="1" applyAlignment="1">
      <alignment horizontal="left" vertical="center" indent="1"/>
    </xf>
    <xf numFmtId="9" fontId="3" fillId="11" borderId="0" xfId="1" applyFont="1" applyFill="1" applyBorder="1" applyAlignment="1">
      <alignment horizontal="left" indent="1"/>
    </xf>
    <xf numFmtId="2" fontId="3" fillId="9" borderId="11" xfId="0" applyNumberFormat="1" applyFont="1" applyFill="1" applyBorder="1" applyAlignment="1">
      <alignment horizontal="right" vertical="center" indent="1"/>
    </xf>
    <xf numFmtId="9" fontId="10" fillId="10" borderId="12" xfId="1" applyFont="1" applyFill="1" applyBorder="1" applyAlignment="1">
      <alignment horizontal="left" vertical="center" indent="1"/>
    </xf>
    <xf numFmtId="0" fontId="17" fillId="12" borderId="18" xfId="0" applyFont="1" applyFill="1" applyBorder="1" applyAlignment="1">
      <alignment horizontal="left" vertical="center" wrapText="1"/>
    </xf>
    <xf numFmtId="10" fontId="18" fillId="12" borderId="14" xfId="0" applyNumberFormat="1" applyFont="1" applyFill="1" applyBorder="1" applyAlignment="1">
      <alignment vertical="center"/>
    </xf>
    <xf numFmtId="0" fontId="11" fillId="9" borderId="24" xfId="0" applyFont="1" applyFill="1" applyBorder="1" applyAlignment="1">
      <alignment horizontal="right" vertical="center" indent="1"/>
    </xf>
    <xf numFmtId="0" fontId="11" fillId="9" borderId="25" xfId="0" applyFont="1" applyFill="1" applyBorder="1" applyAlignment="1">
      <alignment horizontal="right" vertical="center" indent="1"/>
    </xf>
    <xf numFmtId="0" fontId="19" fillId="14" borderId="26" xfId="0" applyFont="1" applyFill="1" applyBorder="1" applyAlignment="1">
      <alignment horizontal="right" vertical="center" indent="1"/>
    </xf>
    <xf numFmtId="0" fontId="20" fillId="14" borderId="26" xfId="0" applyFont="1" applyFill="1" applyBorder="1" applyAlignment="1">
      <alignment horizontal="right" vertical="center" indent="1"/>
    </xf>
    <xf numFmtId="0" fontId="20" fillId="14" borderId="12" xfId="0" applyFont="1" applyFill="1" applyBorder="1" applyAlignment="1">
      <alignment horizontal="right" vertical="center" indent="1"/>
    </xf>
    <xf numFmtId="0" fontId="8" fillId="11" borderId="27" xfId="0" applyFont="1" applyFill="1" applyBorder="1" applyAlignment="1">
      <alignment vertical="center"/>
    </xf>
    <xf numFmtId="0" fontId="8" fillId="11" borderId="0" xfId="0" applyFont="1" applyFill="1" applyAlignment="1">
      <alignment vertical="center"/>
    </xf>
    <xf numFmtId="9" fontId="11" fillId="10" borderId="11" xfId="1" applyFont="1" applyFill="1" applyBorder="1" applyAlignment="1">
      <alignment horizontal="left" vertical="center" indent="2"/>
    </xf>
    <xf numFmtId="164" fontId="3" fillId="10" borderId="26" xfId="0" applyNumberFormat="1" applyFont="1" applyFill="1" applyBorder="1" applyAlignment="1">
      <alignment horizontal="right" vertical="center" indent="1"/>
    </xf>
    <xf numFmtId="164" fontId="3" fillId="10" borderId="12" xfId="0" applyNumberFormat="1" applyFont="1" applyFill="1" applyBorder="1" applyAlignment="1">
      <alignment horizontal="right" vertical="center" indent="1"/>
    </xf>
    <xf numFmtId="164" fontId="10" fillId="10" borderId="28" xfId="0" applyNumberFormat="1" applyFont="1" applyFill="1" applyBorder="1" applyAlignment="1">
      <alignment horizontal="right" vertical="center"/>
    </xf>
    <xf numFmtId="9" fontId="21" fillId="12" borderId="18" xfId="1" applyFont="1" applyFill="1" applyBorder="1" applyAlignment="1">
      <alignment horizontal="left" vertical="center" indent="2"/>
    </xf>
    <xf numFmtId="9" fontId="3" fillId="12" borderId="0" xfId="1" applyFont="1" applyFill="1" applyBorder="1" applyAlignment="1">
      <alignment horizontal="right" vertical="center" indent="1"/>
    </xf>
    <xf numFmtId="9" fontId="3" fillId="12" borderId="18" xfId="1" applyFont="1" applyFill="1" applyBorder="1" applyAlignment="1">
      <alignment horizontal="right" vertical="center" indent="1"/>
    </xf>
    <xf numFmtId="9" fontId="3" fillId="12" borderId="14" xfId="1" applyFont="1" applyFill="1" applyBorder="1" applyAlignment="1">
      <alignment horizontal="right" vertical="center" indent="1"/>
    </xf>
    <xf numFmtId="10" fontId="14" fillId="12" borderId="14" xfId="0" applyNumberFormat="1" applyFont="1" applyFill="1" applyBorder="1" applyAlignment="1">
      <alignment vertical="center"/>
    </xf>
    <xf numFmtId="164" fontId="3" fillId="10" borderId="11" xfId="0" applyNumberFormat="1" applyFont="1" applyFill="1" applyBorder="1" applyAlignment="1">
      <alignment horizontal="right" vertical="center" indent="1"/>
    </xf>
    <xf numFmtId="164" fontId="10" fillId="10" borderId="12" xfId="0" applyNumberFormat="1" applyFont="1" applyFill="1" applyBorder="1" applyAlignment="1">
      <alignment horizontal="right" vertical="center"/>
    </xf>
    <xf numFmtId="0" fontId="10" fillId="12" borderId="11" xfId="0" applyFont="1" applyFill="1" applyBorder="1" applyAlignment="1">
      <alignment horizontal="left" vertical="center" indent="2"/>
    </xf>
    <xf numFmtId="10" fontId="10" fillId="12" borderId="26" xfId="1" applyNumberFormat="1" applyFont="1" applyFill="1" applyBorder="1" applyAlignment="1">
      <alignment horizontal="right" vertical="center" indent="1"/>
    </xf>
    <xf numFmtId="10" fontId="10" fillId="12" borderId="11" xfId="1" applyNumberFormat="1" applyFont="1" applyFill="1" applyBorder="1" applyAlignment="1">
      <alignment horizontal="right" vertical="center" indent="1"/>
    </xf>
    <xf numFmtId="10" fontId="10" fillId="12" borderId="12" xfId="1" applyNumberFormat="1" applyFont="1" applyFill="1" applyBorder="1" applyAlignment="1">
      <alignment horizontal="right" vertical="center" indent="1"/>
    </xf>
    <xf numFmtId="2" fontId="14" fillId="12" borderId="14" xfId="0" applyNumberFormat="1" applyFont="1" applyFill="1" applyBorder="1" applyAlignment="1">
      <alignment vertical="center"/>
    </xf>
    <xf numFmtId="0" fontId="22" fillId="12" borderId="18" xfId="0" applyFont="1" applyFill="1" applyBorder="1" applyAlignment="1">
      <alignment horizontal="left" vertical="center" indent="1"/>
    </xf>
    <xf numFmtId="0" fontId="17" fillId="12" borderId="27" xfId="0" applyFont="1" applyFill="1" applyBorder="1" applyAlignment="1">
      <alignment horizontal="left" vertical="center" wrapText="1"/>
    </xf>
    <xf numFmtId="10" fontId="18" fillId="12" borderId="29" xfId="0" applyNumberFormat="1" applyFont="1" applyFill="1" applyBorder="1" applyAlignment="1">
      <alignment vertical="center"/>
    </xf>
    <xf numFmtId="9" fontId="11" fillId="10" borderId="27" xfId="1" applyFont="1" applyFill="1" applyBorder="1" applyAlignment="1">
      <alignment horizontal="left" vertical="center" indent="2"/>
    </xf>
    <xf numFmtId="9" fontId="3" fillId="10" borderId="30" xfId="1" applyFont="1" applyFill="1" applyBorder="1" applyAlignment="1">
      <alignment horizontal="right" vertical="center" indent="1"/>
    </xf>
    <xf numFmtId="9" fontId="3" fillId="10" borderId="27" xfId="1" applyFont="1" applyFill="1" applyBorder="1" applyAlignment="1">
      <alignment horizontal="right" vertical="center" indent="1"/>
    </xf>
    <xf numFmtId="9" fontId="3" fillId="10" borderId="29" xfId="1" applyFont="1" applyFill="1" applyBorder="1" applyAlignment="1">
      <alignment horizontal="right" vertical="center" indent="1"/>
    </xf>
    <xf numFmtId="9" fontId="3" fillId="10" borderId="29" xfId="1" applyFont="1" applyFill="1" applyBorder="1" applyAlignment="1">
      <alignment horizontal="right" vertical="center"/>
    </xf>
    <xf numFmtId="164" fontId="14" fillId="12" borderId="14" xfId="0" applyNumberFormat="1" applyFont="1" applyFill="1" applyBorder="1" applyAlignment="1">
      <alignment horizontal="right" vertical="center"/>
    </xf>
    <xf numFmtId="10" fontId="18" fillId="12" borderId="14" xfId="0" applyNumberFormat="1" applyFont="1" applyFill="1" applyBorder="1" applyAlignment="1">
      <alignment horizontal="right" vertical="center"/>
    </xf>
    <xf numFmtId="10" fontId="18" fillId="12" borderId="29" xfId="0" applyNumberFormat="1" applyFont="1" applyFill="1" applyBorder="1" applyAlignment="1">
      <alignment horizontal="right" vertical="center"/>
    </xf>
    <xf numFmtId="0" fontId="2" fillId="9" borderId="23" xfId="0" applyFont="1" applyFill="1" applyBorder="1" applyAlignment="1">
      <alignment horizontal="left" vertical="center" indent="2"/>
    </xf>
    <xf numFmtId="0" fontId="8" fillId="11" borderId="0" xfId="0" applyFont="1" applyFill="1" applyAlignment="1">
      <alignment horizontal="left" vertical="center" indent="2"/>
    </xf>
    <xf numFmtId="0" fontId="10" fillId="11" borderId="0" xfId="0" applyFont="1" applyFill="1" applyAlignment="1">
      <alignment horizontal="left" vertical="center" wrapText="1" indent="3"/>
    </xf>
    <xf numFmtId="9" fontId="3" fillId="10" borderId="27" xfId="1" applyFont="1" applyFill="1" applyBorder="1" applyAlignment="1">
      <alignment horizontal="center" vertical="center"/>
    </xf>
    <xf numFmtId="9" fontId="3" fillId="10" borderId="29" xfId="1" applyFont="1" applyFill="1" applyBorder="1" applyAlignment="1">
      <alignment horizontal="center" vertical="center"/>
    </xf>
    <xf numFmtId="10" fontId="11" fillId="9" borderId="27" xfId="1" applyNumberFormat="1" applyFont="1" applyFill="1" applyBorder="1" applyAlignment="1">
      <alignment horizontal="center" vertical="center"/>
    </xf>
    <xf numFmtId="10" fontId="11" fillId="9" borderId="29" xfId="1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2"/>
    </xf>
    <xf numFmtId="9" fontId="11" fillId="12" borderId="11" xfId="1" applyFont="1" applyFill="1" applyBorder="1" applyAlignment="1">
      <alignment horizontal="center" vertical="center"/>
    </xf>
    <xf numFmtId="9" fontId="11" fillId="12" borderId="12" xfId="1" applyFont="1" applyFill="1" applyBorder="1" applyAlignment="1">
      <alignment horizontal="center" vertical="center"/>
    </xf>
    <xf numFmtId="9" fontId="3" fillId="10" borderId="11" xfId="1" applyFont="1" applyFill="1" applyBorder="1" applyAlignment="1">
      <alignment horizontal="center" vertical="center"/>
    </xf>
    <xf numFmtId="9" fontId="3" fillId="10" borderId="12" xfId="1" applyFont="1" applyFill="1" applyBorder="1" applyAlignment="1">
      <alignment horizontal="center" vertical="center"/>
    </xf>
    <xf numFmtId="0" fontId="3" fillId="11" borderId="0" xfId="0" applyFont="1" applyFill="1" applyAlignment="1">
      <alignment horizontal="left" vertical="center" wrapText="1" indent="3"/>
    </xf>
    <xf numFmtId="0" fontId="3" fillId="11" borderId="0" xfId="0" applyFont="1" applyFill="1" applyAlignment="1">
      <alignment horizontal="left" vertical="center" indent="3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Basic Materials"/>
      <sheetName val="US Treasury Bonds"/>
      <sheetName val="Fidelity"/>
      <sheetName val="Schwab"/>
      <sheetName val="Top Consumer Stocks"/>
      <sheetName val="Dividend Portfolio"/>
      <sheetName val="Watchlist"/>
      <sheetName val="Small + Speculative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4.1210000000000004E-2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5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2050.5</v>
    <v>1432</v>
    <v>0.73209999999999997</v>
    <v>29</v>
    <v>1.4846E-2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20607</v>
    <v>Euronext Paris</v>
    <v>XPAR</v>
    <v>XPAR</v>
    <v>24 rue du Faubourg Saint Honore, PARIS, ILE-DE-FRANCE, 75008 FR</v>
    <v>1990.8</v>
    <v>Textiles &amp; Apparel</v>
    <v>Stock</v>
    <v>45268.708333333336</v>
    <v>0</v>
    <v>1952.4</v>
    <v>209280800000</v>
    <v>Hermes International SCA</v>
    <v>Hermes International SCA</v>
    <v>1953.2</v>
    <v>51.715400000000002</v>
    <v>1953.4</v>
    <v>1982.4</v>
    <v>105569400</v>
    <v>RMS</v>
    <v>Hermes International SCA (XPAR:RMS)</v>
    <v>56295</v>
    <v>48550</v>
    <v>1957</v>
  </rv>
  <rv s="2">
    <v>1</v>
  </rv>
  <rv s="3">
    <v>5</v>
    <v>EUR/USD</v>
    <v>6</v>
    <v>7</v>
    <v>Finance</v>
    <v>8</v>
    <v>en-US</v>
    <v>av932w</v>
    <v>268435456</v>
    <v>1</v>
    <v>Powered by Refinitiv</v>
    <v>1.1274999999999999</v>
    <v>1.0441</v>
    <v>-3.0999999999999999E-3</v>
    <v>-2.872E-3</v>
    <v>USD</v>
    <v>EUR</v>
    <v>Currency Pair</v>
    <v>45268.916666666664</v>
    <v>Euro/US Dollar FX Spot Rate</v>
    <v>1.0791999999999999</v>
    <v>1.0761000000000001</v>
    <v>EURUSD</v>
    <v>EUR/USD</v>
  </rv>
  <rv s="2">
    <v>3</v>
  </rv>
</rvData>
</file>

<file path=xl/richData/rdrichvaluestructure.xml><?xml version="1.0" encoding="utf-8"?>
<rvStructures xmlns="http://schemas.microsoft.com/office/spreadsheetml/2017/richdata" count="4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</rvStructures>
</file>

<file path=xl/richData/rdsupportingpropertybag.xml><?xml version="1.0" encoding="utf-8"?>
<supportingPropertyBags xmlns="http://schemas.microsoft.com/office/spreadsheetml/2017/richdata2">
  <spbArrays count="2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</spbArrays>
  <spbData count="9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  <spb s="5">
      <v>1</v>
      <v>Name</v>
    </spb>
    <spb s="6">
      <v>1</v>
      <v>1</v>
    </spb>
    <spb s="7">
      <v>3</v>
      <v>10</v>
      <v>10</v>
      <v>5</v>
      <v>10</v>
      <v>10</v>
      <v>10</v>
      <v>7</v>
      <v>9</v>
    </spb>
    <spb s="8">
      <v>GMT</v>
    </spb>
  </spbData>
</supportingPropertyBags>
</file>

<file path=xl/richData/rdsupportingpropertybagstructure.xml><?xml version="1.0" encoding="utf-8"?>
<spbStructures xmlns="http://schemas.microsoft.com/office/spreadsheetml/2017/richdata2" count="9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  <s>
    <k n="^Order" t="spba"/>
    <k n="TitleProperty" t="s"/>
  </s>
  <s>
    <k n="UniqueName" t="spb"/>
    <k n="`%ProviderInfo" t="spb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ENXTPA:RMS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4"/>
  <sheetViews>
    <sheetView topLeftCell="A115" workbookViewId="0">
      <pane xSplit="1" topLeftCell="H1" activePane="topRight" state="frozen"/>
      <selection pane="topRight" activeCell="P134" sqref="P134"/>
    </sheetView>
  </sheetViews>
  <sheetFormatPr baseColWidth="10" defaultRowHeight="15" x14ac:dyDescent="0.2"/>
  <cols>
    <col min="1" max="1" width="40.83203125" customWidth="1"/>
    <col min="2" max="20" width="16.83203125" customWidth="1"/>
  </cols>
  <sheetData>
    <row r="1" spans="1:19" ht="16" x14ac:dyDescent="0.2">
      <c r="A1" s="1" t="e" vm="1">
        <v>#VALUE!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6" x14ac:dyDescent="0.2">
      <c r="A2" s="35" t="s">
        <v>18</v>
      </c>
      <c r="B2" s="31">
        <v>3220777827</v>
      </c>
      <c r="C2" s="31">
        <v>3688289432</v>
      </c>
      <c r="D2" s="31">
        <v>4593408034</v>
      </c>
      <c r="E2" s="31">
        <v>5173896284</v>
      </c>
      <c r="F2" s="31">
        <v>4983724780</v>
      </c>
      <c r="G2" s="31">
        <v>5258755547</v>
      </c>
      <c r="H2" s="31">
        <v>5487031843</v>
      </c>
      <c r="I2" s="31">
        <v>6663344464</v>
      </c>
      <c r="J2" s="31">
        <v>6820114759</v>
      </c>
      <c r="K2" s="31">
        <v>7726604316</v>
      </c>
      <c r="L2" s="31">
        <v>7817788067</v>
      </c>
      <c r="M2" s="31">
        <v>10214362915</v>
      </c>
      <c r="N2" s="31">
        <v>12381135347</v>
      </c>
      <c r="O2" s="32">
        <v>13992079361</v>
      </c>
      <c r="P2" s="31">
        <v>5397168381</v>
      </c>
      <c r="Q2" s="31">
        <v>5722768776</v>
      </c>
      <c r="R2" s="31">
        <v>6539023901</v>
      </c>
      <c r="S2" s="31">
        <v>7307520277</v>
      </c>
    </row>
    <row r="3" spans="1:19" ht="16" x14ac:dyDescent="0.2">
      <c r="A3" s="8" t="s">
        <v>191</v>
      </c>
      <c r="B3" s="9"/>
      <c r="C3" s="10">
        <f t="shared" ref="C3:O3" si="0">(C2/B2)-1</f>
        <v>0.14515487565792906</v>
      </c>
      <c r="D3" s="10">
        <f t="shared" si="0"/>
        <v>0.24540335531888924</v>
      </c>
      <c r="E3" s="10">
        <f t="shared" si="0"/>
        <v>0.12637419661028959</v>
      </c>
      <c r="F3" s="10">
        <f t="shared" si="0"/>
        <v>-3.6755955968443943E-2</v>
      </c>
      <c r="G3" s="10">
        <f t="shared" si="0"/>
        <v>5.5185785560172951E-2</v>
      </c>
      <c r="H3" s="10">
        <f t="shared" si="0"/>
        <v>4.3408805364650638E-2</v>
      </c>
      <c r="I3" s="10">
        <f t="shared" si="0"/>
        <v>0.2143804983564408</v>
      </c>
      <c r="J3" s="10">
        <f t="shared" si="0"/>
        <v>2.3527268603174001E-2</v>
      </c>
      <c r="K3" s="10">
        <f t="shared" si="0"/>
        <v>0.13291412080768472</v>
      </c>
      <c r="L3" s="10">
        <f t="shared" si="0"/>
        <v>1.1801270942680464E-2</v>
      </c>
      <c r="M3" s="10">
        <f t="shared" si="0"/>
        <v>0.30655408249249994</v>
      </c>
      <c r="N3" s="10">
        <f t="shared" si="0"/>
        <v>0.21212996346723201</v>
      </c>
      <c r="O3" s="10">
        <f t="shared" si="0"/>
        <v>0.13011278601282217</v>
      </c>
      <c r="P3" s="10"/>
      <c r="Q3" s="10">
        <f>(Q2/P2)-1</f>
        <v>6.0328003874444924E-2</v>
      </c>
      <c r="R3" s="10">
        <f>(R2/Q2)-1</f>
        <v>0.1426329032239062</v>
      </c>
      <c r="S3" s="10">
        <f>(S2/R2)-1</f>
        <v>0.11752463175466832</v>
      </c>
    </row>
    <row r="4" spans="1:19" ht="16" x14ac:dyDescent="0.2">
      <c r="A4" s="3" t="s">
        <v>19</v>
      </c>
      <c r="B4" s="4">
        <v>3220777827</v>
      </c>
      <c r="C4" s="4">
        <v>3688289432</v>
      </c>
      <c r="D4" s="4">
        <v>4593408034</v>
      </c>
      <c r="E4" s="4">
        <v>5173896284</v>
      </c>
      <c r="F4" s="4">
        <v>4983724780</v>
      </c>
      <c r="G4" s="4">
        <v>5258755547</v>
      </c>
      <c r="H4" s="4">
        <v>5487031843</v>
      </c>
      <c r="I4" s="4">
        <v>6663344464</v>
      </c>
      <c r="J4" s="4">
        <v>6820114759</v>
      </c>
      <c r="K4" s="4">
        <v>7726604316</v>
      </c>
      <c r="L4" s="4">
        <v>7817788067</v>
      </c>
      <c r="M4" s="4">
        <v>10214362915</v>
      </c>
      <c r="N4" s="4">
        <v>12381135347</v>
      </c>
      <c r="O4" s="5">
        <v>13992079361</v>
      </c>
      <c r="P4" s="4">
        <v>5397168381</v>
      </c>
      <c r="Q4" s="4">
        <v>5722768776</v>
      </c>
      <c r="R4" s="4">
        <v>6539023901</v>
      </c>
      <c r="S4" s="4">
        <v>7307520277</v>
      </c>
    </row>
    <row r="5" spans="1:19" ht="16" x14ac:dyDescent="0.2">
      <c r="A5" s="3" t="s">
        <v>20</v>
      </c>
      <c r="B5" s="4">
        <v>1093358018</v>
      </c>
      <c r="C5" s="4">
        <v>1150675684</v>
      </c>
      <c r="D5" s="4">
        <v>1464469345</v>
      </c>
      <c r="E5" s="4">
        <v>1612605417</v>
      </c>
      <c r="F5" s="4">
        <v>1652448541</v>
      </c>
      <c r="G5" s="4">
        <v>1784240030</v>
      </c>
      <c r="H5" s="4">
        <v>1773987708</v>
      </c>
      <c r="I5" s="4">
        <v>1992483010</v>
      </c>
      <c r="J5" s="4">
        <v>2047371907</v>
      </c>
      <c r="K5" s="4">
        <v>2385196489</v>
      </c>
      <c r="L5" s="4">
        <v>2463385093</v>
      </c>
      <c r="M5" s="4">
        <v>2933985340</v>
      </c>
      <c r="N5" s="4">
        <v>3616900930</v>
      </c>
      <c r="O5" s="5">
        <v>3999607246</v>
      </c>
      <c r="P5" s="4">
        <v>1561380570</v>
      </c>
      <c r="Q5" s="4">
        <v>1658076595</v>
      </c>
      <c r="R5" s="4">
        <v>1924246792</v>
      </c>
      <c r="S5" s="4">
        <v>2032533633</v>
      </c>
    </row>
    <row r="6" spans="1:19" ht="16" x14ac:dyDescent="0.2">
      <c r="A6" s="3" t="s">
        <v>21</v>
      </c>
      <c r="B6" s="4">
        <v>1093358018</v>
      </c>
      <c r="C6" s="4">
        <v>1150675684</v>
      </c>
      <c r="D6" s="4">
        <v>1464469345</v>
      </c>
      <c r="E6" s="4">
        <v>1612605417</v>
      </c>
      <c r="F6" s="4">
        <v>1652448541</v>
      </c>
      <c r="G6" s="4">
        <v>1784240030</v>
      </c>
      <c r="H6" s="4">
        <v>1773987708</v>
      </c>
      <c r="I6" s="4">
        <v>1992483010</v>
      </c>
      <c r="J6" s="4">
        <v>2047371907</v>
      </c>
      <c r="K6" s="4">
        <v>2385196489</v>
      </c>
      <c r="L6" s="4">
        <v>2463385093</v>
      </c>
      <c r="M6" s="4">
        <v>2933985340</v>
      </c>
      <c r="N6" s="4">
        <v>3616900930</v>
      </c>
      <c r="O6" s="5">
        <v>3999607246</v>
      </c>
      <c r="P6" s="4">
        <v>1561380570</v>
      </c>
      <c r="Q6" s="4">
        <v>1658076595</v>
      </c>
      <c r="R6" s="4">
        <v>1924246792</v>
      </c>
      <c r="S6" s="4">
        <v>2032533633</v>
      </c>
    </row>
    <row r="7" spans="1:19" ht="16" x14ac:dyDescent="0.2">
      <c r="A7" s="35" t="s">
        <v>22</v>
      </c>
      <c r="B7" s="31">
        <v>2127419809</v>
      </c>
      <c r="C7" s="31">
        <v>2537613748</v>
      </c>
      <c r="D7" s="31">
        <v>3128938689</v>
      </c>
      <c r="E7" s="31">
        <v>3561290866</v>
      </c>
      <c r="F7" s="31">
        <v>3331276239</v>
      </c>
      <c r="G7" s="31">
        <v>3474515517</v>
      </c>
      <c r="H7" s="31">
        <v>3713044134</v>
      </c>
      <c r="I7" s="31">
        <v>4670861454</v>
      </c>
      <c r="J7" s="31">
        <v>4772742852</v>
      </c>
      <c r="K7" s="31">
        <v>5341407827</v>
      </c>
      <c r="L7" s="31">
        <v>5354402974</v>
      </c>
      <c r="M7" s="31">
        <v>7280377575</v>
      </c>
      <c r="N7" s="31">
        <v>8764234417</v>
      </c>
      <c r="O7" s="32">
        <v>9992472114</v>
      </c>
      <c r="P7" s="31">
        <v>3835787810</v>
      </c>
      <c r="Q7" s="31">
        <v>4064692182</v>
      </c>
      <c r="R7" s="31">
        <v>4614777109</v>
      </c>
      <c r="S7" s="31">
        <v>5274986644</v>
      </c>
    </row>
    <row r="8" spans="1:19" ht="16" x14ac:dyDescent="0.2">
      <c r="A8" s="30" t="s">
        <v>58</v>
      </c>
      <c r="B8" s="33">
        <v>66.05</v>
      </c>
      <c r="C8" s="33">
        <v>68.8</v>
      </c>
      <c r="D8" s="33">
        <v>68.12</v>
      </c>
      <c r="E8" s="33">
        <v>68.83</v>
      </c>
      <c r="F8" s="33">
        <v>66.84</v>
      </c>
      <c r="G8" s="33">
        <v>66.069999999999993</v>
      </c>
      <c r="H8" s="33">
        <v>67.67</v>
      </c>
      <c r="I8" s="33">
        <v>70.099999999999994</v>
      </c>
      <c r="J8" s="33">
        <v>69.98</v>
      </c>
      <c r="K8" s="33">
        <v>69.13</v>
      </c>
      <c r="L8" s="33">
        <v>68.489999999999995</v>
      </c>
      <c r="M8" s="33">
        <v>71.28</v>
      </c>
      <c r="N8" s="33">
        <v>70.790000000000006</v>
      </c>
      <c r="O8" s="34">
        <v>71.42</v>
      </c>
      <c r="P8" s="33">
        <v>71.069999999999993</v>
      </c>
      <c r="Q8" s="33">
        <v>71.03</v>
      </c>
      <c r="R8" s="33">
        <v>70.569999999999993</v>
      </c>
      <c r="S8" s="33">
        <v>72.19</v>
      </c>
    </row>
    <row r="9" spans="1:19" ht="16" x14ac:dyDescent="0.2">
      <c r="A9" s="3" t="s">
        <v>23</v>
      </c>
      <c r="B9" s="4" t="s">
        <v>24</v>
      </c>
      <c r="C9" s="4" t="s">
        <v>24</v>
      </c>
      <c r="D9" s="4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5" t="s">
        <v>24</v>
      </c>
      <c r="P9" s="4" t="s">
        <v>24</v>
      </c>
      <c r="Q9" s="4" t="s">
        <v>24</v>
      </c>
      <c r="R9" s="4" t="s">
        <v>24</v>
      </c>
      <c r="S9" s="4" t="s">
        <v>24</v>
      </c>
    </row>
    <row r="10" spans="1:19" ht="16" x14ac:dyDescent="0.2">
      <c r="A10" s="3" t="s">
        <v>25</v>
      </c>
      <c r="B10" s="4">
        <v>1231000389</v>
      </c>
      <c r="C10" s="4">
        <v>1388495839</v>
      </c>
      <c r="D10" s="4">
        <v>1650098876</v>
      </c>
      <c r="E10" s="4">
        <v>1878272618</v>
      </c>
      <c r="F10" s="4">
        <v>1747679721</v>
      </c>
      <c r="G10" s="4">
        <v>1784022771</v>
      </c>
      <c r="H10" s="4">
        <v>1894123983</v>
      </c>
      <c r="I10" s="4">
        <v>2312615578</v>
      </c>
      <c r="J10" s="4">
        <v>2385742697</v>
      </c>
      <c r="K10" s="4">
        <v>2684230017</v>
      </c>
      <c r="L10" s="4">
        <v>2863732584</v>
      </c>
      <c r="M10" s="4">
        <v>3190993358</v>
      </c>
      <c r="N10" s="4">
        <v>3620102672</v>
      </c>
      <c r="O10" s="5">
        <v>4083614273</v>
      </c>
      <c r="P10" s="4">
        <v>1751293575</v>
      </c>
      <c r="Q10" s="4">
        <v>1582804517</v>
      </c>
      <c r="R10" s="4">
        <v>2004290336</v>
      </c>
      <c r="S10" s="4">
        <v>2034715634</v>
      </c>
    </row>
    <row r="11" spans="1:19" ht="16" x14ac:dyDescent="0.2">
      <c r="A11" s="30" t="s">
        <v>26</v>
      </c>
      <c r="B11" s="31">
        <v>1076186260</v>
      </c>
      <c r="C11" s="31">
        <v>1227655679</v>
      </c>
      <c r="D11" s="31">
        <v>1490837176</v>
      </c>
      <c r="E11" s="31">
        <v>1674475009</v>
      </c>
      <c r="F11" s="31">
        <v>1563025615</v>
      </c>
      <c r="G11" s="31">
        <v>1541344401</v>
      </c>
      <c r="H11" s="31">
        <v>1629908559</v>
      </c>
      <c r="I11" s="31">
        <v>1988880618</v>
      </c>
      <c r="J11" s="31">
        <v>2024737645</v>
      </c>
      <c r="K11" s="31">
        <v>2038120036</v>
      </c>
      <c r="L11" s="31">
        <v>2078209696</v>
      </c>
      <c r="M11" s="31">
        <v>2430204136</v>
      </c>
      <c r="N11" s="31">
        <v>2860222630</v>
      </c>
      <c r="O11" s="32">
        <v>3258818016</v>
      </c>
      <c r="P11" s="31">
        <v>1365781548</v>
      </c>
      <c r="Q11" s="31">
        <v>1231534823</v>
      </c>
      <c r="R11" s="31">
        <v>1603005370</v>
      </c>
      <c r="S11" s="31">
        <v>1620135505</v>
      </c>
    </row>
    <row r="12" spans="1:19" ht="16" x14ac:dyDescent="0.2">
      <c r="A12" s="11" t="s">
        <v>192</v>
      </c>
      <c r="B12" s="10">
        <f t="shared" ref="B12:S12" si="1">B11/B2</f>
        <v>0.33413862048423748</v>
      </c>
      <c r="C12" s="10">
        <f t="shared" si="1"/>
        <v>0.33285231585914216</v>
      </c>
      <c r="D12" s="10">
        <f t="shared" si="1"/>
        <v>0.32456014466055599</v>
      </c>
      <c r="E12" s="10">
        <f t="shared" si="1"/>
        <v>0.32363907528997543</v>
      </c>
      <c r="F12" s="10">
        <f t="shared" si="1"/>
        <v>0.31362598939502434</v>
      </c>
      <c r="G12" s="10">
        <f t="shared" si="1"/>
        <v>0.29310059903417679</v>
      </c>
      <c r="H12" s="10">
        <f t="shared" si="1"/>
        <v>0.29704740297422033</v>
      </c>
      <c r="I12" s="10">
        <f t="shared" si="1"/>
        <v>0.29848083477378518</v>
      </c>
      <c r="J12" s="10">
        <f t="shared" si="1"/>
        <v>0.29687735713363234</v>
      </c>
      <c r="K12" s="10">
        <f t="shared" si="1"/>
        <v>0.26377952754478801</v>
      </c>
      <c r="L12" s="10">
        <f t="shared" si="1"/>
        <v>0.26583090743690274</v>
      </c>
      <c r="M12" s="10">
        <f t="shared" si="1"/>
        <v>0.23792028501662063</v>
      </c>
      <c r="N12" s="10">
        <f t="shared" si="1"/>
        <v>0.23101456771434484</v>
      </c>
      <c r="O12" s="10">
        <f t="shared" si="1"/>
        <v>0.23290448345249348</v>
      </c>
      <c r="P12" s="10">
        <f t="shared" si="1"/>
        <v>0.25305520443053969</v>
      </c>
      <c r="Q12" s="10">
        <f t="shared" si="1"/>
        <v>0.21519912322244766</v>
      </c>
      <c r="R12" s="10">
        <f t="shared" si="1"/>
        <v>0.24514444269806929</v>
      </c>
      <c r="S12" s="10">
        <f t="shared" si="1"/>
        <v>0.2217079725525064</v>
      </c>
    </row>
    <row r="13" spans="1:19" ht="16" x14ac:dyDescent="0.2">
      <c r="A13" s="30" t="s">
        <v>27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2">
        <v>0</v>
      </c>
      <c r="P13" s="31">
        <v>0</v>
      </c>
      <c r="Q13" s="31">
        <v>0</v>
      </c>
      <c r="R13" s="31">
        <v>0</v>
      </c>
      <c r="S13" s="31">
        <v>0</v>
      </c>
    </row>
    <row r="14" spans="1:19" ht="16" x14ac:dyDescent="0.2">
      <c r="A14" s="11" t="s">
        <v>193</v>
      </c>
      <c r="B14" s="10">
        <f t="shared" ref="B14:S14" si="2">B13/B2</f>
        <v>0</v>
      </c>
      <c r="C14" s="10">
        <f t="shared" si="2"/>
        <v>0</v>
      </c>
      <c r="D14" s="10">
        <f t="shared" si="2"/>
        <v>0</v>
      </c>
      <c r="E14" s="10">
        <f t="shared" si="2"/>
        <v>0</v>
      </c>
      <c r="F14" s="10">
        <f t="shared" si="2"/>
        <v>0</v>
      </c>
      <c r="G14" s="10">
        <f t="shared" si="2"/>
        <v>0</v>
      </c>
      <c r="H14" s="10">
        <f t="shared" si="2"/>
        <v>0</v>
      </c>
      <c r="I14" s="10">
        <f t="shared" si="2"/>
        <v>0</v>
      </c>
      <c r="J14" s="10">
        <f t="shared" si="2"/>
        <v>0</v>
      </c>
      <c r="K14" s="10">
        <f t="shared" si="2"/>
        <v>0</v>
      </c>
      <c r="L14" s="10">
        <f t="shared" si="2"/>
        <v>0</v>
      </c>
      <c r="M14" s="10">
        <f t="shared" si="2"/>
        <v>0</v>
      </c>
      <c r="N14" s="10">
        <f t="shared" si="2"/>
        <v>0</v>
      </c>
      <c r="O14" s="10">
        <f t="shared" si="2"/>
        <v>0</v>
      </c>
      <c r="P14" s="10">
        <f t="shared" si="2"/>
        <v>0</v>
      </c>
      <c r="Q14" s="10">
        <f t="shared" si="2"/>
        <v>0</v>
      </c>
      <c r="R14" s="10">
        <f t="shared" si="2"/>
        <v>0</v>
      </c>
      <c r="S14" s="10">
        <f t="shared" si="2"/>
        <v>0</v>
      </c>
    </row>
    <row r="15" spans="1:19" ht="16" x14ac:dyDescent="0.2">
      <c r="A15" s="3" t="s">
        <v>28</v>
      </c>
      <c r="B15" s="4">
        <v>154814129</v>
      </c>
      <c r="C15" s="4">
        <v>160840159</v>
      </c>
      <c r="D15" s="4">
        <v>159261700</v>
      </c>
      <c r="E15" s="4">
        <v>203797608</v>
      </c>
      <c r="F15" s="4">
        <v>184654106</v>
      </c>
      <c r="G15" s="4">
        <v>242678370</v>
      </c>
      <c r="H15" s="4">
        <v>264215424</v>
      </c>
      <c r="I15" s="4">
        <v>323734960</v>
      </c>
      <c r="J15" s="4">
        <v>361005052</v>
      </c>
      <c r="K15" s="4">
        <v>646109981</v>
      </c>
      <c r="L15" s="4">
        <v>785522888</v>
      </c>
      <c r="M15" s="4">
        <v>760789222</v>
      </c>
      <c r="N15" s="4">
        <v>759880042</v>
      </c>
      <c r="O15" s="5">
        <v>824796257</v>
      </c>
      <c r="P15" s="4">
        <v>385512027</v>
      </c>
      <c r="Q15" s="4">
        <v>351269695</v>
      </c>
      <c r="R15" s="4">
        <v>401284966</v>
      </c>
      <c r="S15" s="4">
        <v>414580129</v>
      </c>
    </row>
    <row r="16" spans="1:19" ht="16" x14ac:dyDescent="0.2">
      <c r="A16" s="35" t="s">
        <v>29</v>
      </c>
      <c r="B16" s="31">
        <v>896419420</v>
      </c>
      <c r="C16" s="31">
        <v>1149117910</v>
      </c>
      <c r="D16" s="31">
        <v>1478839813</v>
      </c>
      <c r="E16" s="31">
        <v>1683018249</v>
      </c>
      <c r="F16" s="31">
        <v>1583596518</v>
      </c>
      <c r="G16" s="31">
        <v>1690492746</v>
      </c>
      <c r="H16" s="31">
        <v>1818920152</v>
      </c>
      <c r="I16" s="31">
        <v>2358245876</v>
      </c>
      <c r="J16" s="31">
        <v>2387000156</v>
      </c>
      <c r="K16" s="31">
        <v>2657177810</v>
      </c>
      <c r="L16" s="31">
        <v>2490670390</v>
      </c>
      <c r="M16" s="31">
        <v>4089384218</v>
      </c>
      <c r="N16" s="31">
        <v>5144131745</v>
      </c>
      <c r="O16" s="32">
        <v>5908857841</v>
      </c>
      <c r="P16" s="31">
        <v>2084494235</v>
      </c>
      <c r="Q16" s="31">
        <v>2481887664</v>
      </c>
      <c r="R16" s="31">
        <v>2610486774</v>
      </c>
      <c r="S16" s="31">
        <v>3240271010</v>
      </c>
    </row>
    <row r="17" spans="1:19" ht="16" x14ac:dyDescent="0.2">
      <c r="A17" s="30" t="s">
        <v>59</v>
      </c>
      <c r="B17" s="33">
        <v>27.83</v>
      </c>
      <c r="C17" s="33">
        <v>31.16</v>
      </c>
      <c r="D17" s="33">
        <v>32.19</v>
      </c>
      <c r="E17" s="33">
        <v>32.53</v>
      </c>
      <c r="F17" s="33">
        <v>31.78</v>
      </c>
      <c r="G17" s="33">
        <v>32.15</v>
      </c>
      <c r="H17" s="33">
        <v>33.15</v>
      </c>
      <c r="I17" s="33">
        <v>35.39</v>
      </c>
      <c r="J17" s="31">
        <v>35</v>
      </c>
      <c r="K17" s="33">
        <v>34.39</v>
      </c>
      <c r="L17" s="33">
        <v>31.86</v>
      </c>
      <c r="M17" s="33">
        <v>40.04</v>
      </c>
      <c r="N17" s="33">
        <v>41.55</v>
      </c>
      <c r="O17" s="34">
        <v>42.23</v>
      </c>
      <c r="P17" s="33">
        <v>38.619999999999997</v>
      </c>
      <c r="Q17" s="33">
        <v>43.37</v>
      </c>
      <c r="R17" s="33">
        <v>39.92</v>
      </c>
      <c r="S17" s="33">
        <v>44.34</v>
      </c>
    </row>
    <row r="18" spans="1:19" ht="16" x14ac:dyDescent="0.2">
      <c r="A18" s="12" t="s">
        <v>194</v>
      </c>
      <c r="B18" s="9"/>
      <c r="C18" s="10">
        <f>(C16/B16)-1</f>
        <v>0.28189760770689243</v>
      </c>
      <c r="D18" s="10">
        <f>(D16/C16)-1</f>
        <v>0.28693478722301013</v>
      </c>
      <c r="E18" s="10">
        <f>(E16/D16)-1</f>
        <v>0.1380666345368402</v>
      </c>
      <c r="F18" s="10">
        <f t="shared" ref="F18:N18" si="3">(F16/E16)-1</f>
        <v>-5.9073471757702833E-2</v>
      </c>
      <c r="G18" s="10">
        <f t="shared" si="3"/>
        <v>6.7502186816503107E-2</v>
      </c>
      <c r="H18" s="10">
        <f t="shared" si="3"/>
        <v>7.5970397568331238E-2</v>
      </c>
      <c r="I18" s="10">
        <f t="shared" si="3"/>
        <v>0.29650874086307888</v>
      </c>
      <c r="J18" s="10">
        <f t="shared" si="3"/>
        <v>1.219307973465944E-2</v>
      </c>
      <c r="K18" s="10">
        <f t="shared" si="3"/>
        <v>0.1131871119995016</v>
      </c>
      <c r="L18" s="10">
        <f t="shared" si="3"/>
        <v>-6.2663258504330188E-2</v>
      </c>
      <c r="M18" s="10">
        <f t="shared" si="3"/>
        <v>0.64188093069994712</v>
      </c>
      <c r="N18" s="10">
        <f t="shared" si="3"/>
        <v>0.25792331333343066</v>
      </c>
      <c r="O18" s="10">
        <f>(O16/N16)-1</f>
        <v>0.14865989712322181</v>
      </c>
      <c r="P18" s="10"/>
      <c r="Q18" s="10">
        <f>(Q16/P16)-1</f>
        <v>0.19064261360262291</v>
      </c>
      <c r="R18" s="10">
        <f>(R16/Q16)-1</f>
        <v>5.1815040569862081E-2</v>
      </c>
      <c r="S18" s="10">
        <f>(S16/R16)-1</f>
        <v>0.24125164788136177</v>
      </c>
    </row>
    <row r="19" spans="1:19" ht="16" x14ac:dyDescent="0.2">
      <c r="A19" s="3" t="s">
        <v>30</v>
      </c>
      <c r="B19" s="4">
        <v>16769295</v>
      </c>
      <c r="C19" s="4">
        <v>-16226812</v>
      </c>
      <c r="D19" s="4">
        <v>28609097</v>
      </c>
      <c r="E19" s="4">
        <v>36928843</v>
      </c>
      <c r="F19" s="4">
        <v>41262811</v>
      </c>
      <c r="G19" s="4">
        <v>66372643</v>
      </c>
      <c r="H19" s="4">
        <v>79844741</v>
      </c>
      <c r="I19" s="4">
        <v>88979082</v>
      </c>
      <c r="J19" s="4">
        <v>28578614</v>
      </c>
      <c r="K19" s="4">
        <v>108770078</v>
      </c>
      <c r="L19" s="4">
        <v>60198950</v>
      </c>
      <c r="M19" s="4">
        <v>183089783</v>
      </c>
      <c r="N19" s="4">
        <v>197440741</v>
      </c>
      <c r="O19" s="5">
        <v>32730010</v>
      </c>
      <c r="P19" s="4">
        <v>83015864</v>
      </c>
      <c r="Q19" s="4">
        <v>108726334</v>
      </c>
      <c r="R19" s="4">
        <v>86447027</v>
      </c>
      <c r="S19" s="4">
        <v>-55641017</v>
      </c>
    </row>
    <row r="20" spans="1:19" ht="16" x14ac:dyDescent="0.2">
      <c r="A20" s="3" t="s">
        <v>31</v>
      </c>
      <c r="B20" s="4">
        <v>-16769295</v>
      </c>
      <c r="C20" s="4">
        <v>-14669038</v>
      </c>
      <c r="D20" s="4">
        <v>-12920237</v>
      </c>
      <c r="E20" s="4">
        <v>-7165298</v>
      </c>
      <c r="F20" s="4">
        <v>-7623335</v>
      </c>
      <c r="G20" s="4">
        <v>-7169549</v>
      </c>
      <c r="H20" s="4">
        <v>-4324484</v>
      </c>
      <c r="I20" s="4">
        <v>-8405581</v>
      </c>
      <c r="J20" s="4">
        <v>-15546766</v>
      </c>
      <c r="K20" s="4">
        <v>4040994</v>
      </c>
      <c r="L20" s="4">
        <v>26551163</v>
      </c>
      <c r="M20" s="4">
        <v>21606869</v>
      </c>
      <c r="N20" s="4">
        <v>-32017417</v>
      </c>
      <c r="O20" s="5">
        <v>-269477084</v>
      </c>
      <c r="P20" s="4">
        <v>-21606869</v>
      </c>
      <c r="Q20" s="4">
        <v>-30317920</v>
      </c>
      <c r="R20" s="4">
        <v>-92850511</v>
      </c>
      <c r="S20" s="4">
        <v>-174560054</v>
      </c>
    </row>
    <row r="21" spans="1:19" ht="16" x14ac:dyDescent="0.2">
      <c r="A21" s="3" t="s">
        <v>32</v>
      </c>
      <c r="B21" s="4">
        <v>-16769295</v>
      </c>
      <c r="C21" s="4">
        <v>-519258</v>
      </c>
      <c r="D21" s="4">
        <v>1977587</v>
      </c>
      <c r="E21" s="4">
        <v>1377942</v>
      </c>
      <c r="F21" s="4">
        <v>484021</v>
      </c>
      <c r="G21" s="4">
        <v>760407</v>
      </c>
      <c r="H21" s="4">
        <v>1582128</v>
      </c>
      <c r="I21" s="4">
        <v>1921276</v>
      </c>
      <c r="J21" s="4">
        <v>6401610</v>
      </c>
      <c r="K21" s="4">
        <v>27388957</v>
      </c>
      <c r="L21" s="4">
        <v>39520856</v>
      </c>
      <c r="M21" s="4">
        <v>36390516</v>
      </c>
      <c r="N21" s="4">
        <v>45891632</v>
      </c>
      <c r="O21" s="5">
        <v>-53459017</v>
      </c>
      <c r="P21" s="4">
        <v>-17058054</v>
      </c>
      <c r="Q21" s="4">
        <v>-19863465</v>
      </c>
      <c r="R21" s="4">
        <v>-25613934</v>
      </c>
      <c r="S21" s="4">
        <v>-27275008</v>
      </c>
    </row>
    <row r="22" spans="1:19" ht="16" x14ac:dyDescent="0.2">
      <c r="A22" s="3" t="s">
        <v>33</v>
      </c>
      <c r="B22" s="4" t="s">
        <v>24</v>
      </c>
      <c r="C22" s="4">
        <v>14149780</v>
      </c>
      <c r="D22" s="4">
        <v>14897825</v>
      </c>
      <c r="E22" s="4">
        <v>8543240</v>
      </c>
      <c r="F22" s="4">
        <v>8107356</v>
      </c>
      <c r="G22" s="4">
        <v>7929956</v>
      </c>
      <c r="H22" s="4">
        <v>5906612</v>
      </c>
      <c r="I22" s="4">
        <v>10326857</v>
      </c>
      <c r="J22" s="4">
        <v>21948376</v>
      </c>
      <c r="K22" s="4">
        <v>23347963</v>
      </c>
      <c r="L22" s="4">
        <v>12969693</v>
      </c>
      <c r="M22" s="4">
        <v>14783647</v>
      </c>
      <c r="N22" s="4">
        <v>77909049</v>
      </c>
      <c r="O22" s="5">
        <v>216018067</v>
      </c>
      <c r="P22" s="4">
        <v>4548814</v>
      </c>
      <c r="Q22" s="4">
        <v>10454455</v>
      </c>
      <c r="R22" s="4">
        <v>67236577</v>
      </c>
      <c r="S22" s="4">
        <v>147285046</v>
      </c>
    </row>
    <row r="23" spans="1:19" ht="16" x14ac:dyDescent="0.2">
      <c r="A23" s="3" t="s">
        <v>34</v>
      </c>
      <c r="B23" s="4">
        <v>33538590</v>
      </c>
      <c r="C23" s="4">
        <v>-1557774</v>
      </c>
      <c r="D23" s="4">
        <v>41529334</v>
      </c>
      <c r="E23" s="4">
        <v>44094141</v>
      </c>
      <c r="F23" s="4">
        <v>48886146</v>
      </c>
      <c r="G23" s="4">
        <v>73542192</v>
      </c>
      <c r="H23" s="4">
        <v>84169225</v>
      </c>
      <c r="I23" s="4">
        <v>97384663</v>
      </c>
      <c r="J23" s="4">
        <v>44125380</v>
      </c>
      <c r="K23" s="4">
        <v>104729085</v>
      </c>
      <c r="L23" s="4">
        <v>33647787</v>
      </c>
      <c r="M23" s="4">
        <v>161482914</v>
      </c>
      <c r="N23" s="4">
        <v>229458159</v>
      </c>
      <c r="O23" s="5">
        <v>302207094</v>
      </c>
      <c r="P23" s="4">
        <v>104622733</v>
      </c>
      <c r="Q23" s="4">
        <v>139044254</v>
      </c>
      <c r="R23" s="4">
        <v>179297538</v>
      </c>
      <c r="S23" s="4">
        <v>118919037</v>
      </c>
    </row>
    <row r="24" spans="1:19" ht="16" x14ac:dyDescent="0.2">
      <c r="A24" s="3" t="s">
        <v>35</v>
      </c>
      <c r="B24" s="4">
        <v>879650125</v>
      </c>
      <c r="C24" s="4">
        <v>1165344722</v>
      </c>
      <c r="D24" s="4">
        <v>1450230716</v>
      </c>
      <c r="E24" s="4">
        <v>1646089406</v>
      </c>
      <c r="F24" s="4">
        <v>1542333707</v>
      </c>
      <c r="G24" s="4">
        <v>1624120103</v>
      </c>
      <c r="H24" s="4">
        <v>1739075411</v>
      </c>
      <c r="I24" s="4">
        <v>2269266794</v>
      </c>
      <c r="J24" s="4">
        <v>2358421542</v>
      </c>
      <c r="K24" s="4">
        <v>2548407732</v>
      </c>
      <c r="L24" s="4">
        <v>2430471440</v>
      </c>
      <c r="M24" s="4">
        <v>3906294435</v>
      </c>
      <c r="N24" s="4">
        <v>4946691004</v>
      </c>
      <c r="O24" s="5">
        <v>5876127831</v>
      </c>
      <c r="P24" s="4">
        <v>2001478371</v>
      </c>
      <c r="Q24" s="4">
        <v>2373161330</v>
      </c>
      <c r="R24" s="4">
        <v>2524039746</v>
      </c>
      <c r="S24" s="4">
        <v>3295912027</v>
      </c>
    </row>
    <row r="25" spans="1:19" ht="16" x14ac:dyDescent="0.2">
      <c r="A25" s="3" t="s">
        <v>36</v>
      </c>
      <c r="B25" s="4">
        <v>296346977</v>
      </c>
      <c r="C25" s="4">
        <v>376202407</v>
      </c>
      <c r="D25" s="4">
        <v>460250494</v>
      </c>
      <c r="E25" s="4">
        <v>547869703</v>
      </c>
      <c r="F25" s="4">
        <v>512699507</v>
      </c>
      <c r="G25" s="4">
        <v>581819763</v>
      </c>
      <c r="H25" s="4">
        <v>585914842</v>
      </c>
      <c r="I25" s="4">
        <v>803693653</v>
      </c>
      <c r="J25" s="4">
        <v>765906855</v>
      </c>
      <c r="K25" s="4">
        <v>842996171</v>
      </c>
      <c r="L25" s="4">
        <v>750039767</v>
      </c>
      <c r="M25" s="4">
        <v>1154261674</v>
      </c>
      <c r="N25" s="4">
        <v>1392757661</v>
      </c>
      <c r="O25" s="5">
        <v>-1624499506</v>
      </c>
      <c r="P25" s="4">
        <v>-573150624</v>
      </c>
      <c r="Q25" s="4">
        <v>-676403251</v>
      </c>
      <c r="R25" s="4">
        <v>-702248690</v>
      </c>
      <c r="S25" s="4">
        <v>-906621283</v>
      </c>
    </row>
    <row r="26" spans="1:19" ht="16" x14ac:dyDescent="0.2">
      <c r="A26" s="3" t="s">
        <v>37</v>
      </c>
      <c r="B26" s="4" t="s">
        <v>24</v>
      </c>
      <c r="C26" s="4" t="s">
        <v>24</v>
      </c>
      <c r="D26" s="4" t="s">
        <v>24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5" t="s">
        <v>24</v>
      </c>
      <c r="P26" s="4" t="s">
        <v>24</v>
      </c>
      <c r="Q26" s="4" t="s">
        <v>24</v>
      </c>
      <c r="R26" s="4" t="s">
        <v>24</v>
      </c>
      <c r="S26" s="4" t="s">
        <v>24</v>
      </c>
    </row>
    <row r="27" spans="1:19" ht="16" x14ac:dyDescent="0.2">
      <c r="A27" s="3" t="s">
        <v>38</v>
      </c>
      <c r="B27" s="4">
        <v>592559799</v>
      </c>
      <c r="C27" s="4">
        <v>795243596</v>
      </c>
      <c r="D27" s="4">
        <v>989452866</v>
      </c>
      <c r="E27" s="4">
        <v>1100975586</v>
      </c>
      <c r="F27" s="4">
        <v>1044638858</v>
      </c>
      <c r="G27" s="4">
        <v>1061527767</v>
      </c>
      <c r="H27" s="4">
        <v>1164657368</v>
      </c>
      <c r="I27" s="4">
        <v>1471937367</v>
      </c>
      <c r="J27" s="4">
        <v>1611490886</v>
      </c>
      <c r="K27" s="4">
        <v>1723259283</v>
      </c>
      <c r="L27" s="4">
        <v>1700130923</v>
      </c>
      <c r="M27" s="4">
        <v>2790697683</v>
      </c>
      <c r="N27" s="4">
        <v>3607295705</v>
      </c>
      <c r="O27" s="5">
        <v>4325816348</v>
      </c>
      <c r="P27" s="4">
        <v>1452209023</v>
      </c>
      <c r="Q27" s="4">
        <v>1722894217</v>
      </c>
      <c r="R27" s="4">
        <v>1848472237</v>
      </c>
      <c r="S27" s="4">
        <v>2436203759</v>
      </c>
    </row>
    <row r="28" spans="1:19" ht="16" x14ac:dyDescent="0.2">
      <c r="A28" s="3" t="s">
        <v>39</v>
      </c>
      <c r="B28" s="4">
        <v>26830872</v>
      </c>
      <c r="C28" s="4">
        <v>23885867</v>
      </c>
      <c r="D28" s="4">
        <v>27949901</v>
      </c>
      <c r="E28" s="4">
        <v>23838395</v>
      </c>
      <c r="F28" s="4">
        <v>10890478</v>
      </c>
      <c r="G28" s="4">
        <v>9993917</v>
      </c>
      <c r="H28" s="4">
        <v>8227067</v>
      </c>
      <c r="I28" s="4">
        <v>10326857</v>
      </c>
      <c r="J28" s="4">
        <v>11545760</v>
      </c>
      <c r="K28" s="4">
        <v>15714975</v>
      </c>
      <c r="L28" s="4">
        <v>10033158</v>
      </c>
      <c r="M28" s="4">
        <v>19332462</v>
      </c>
      <c r="N28" s="4">
        <v>27748429</v>
      </c>
      <c r="O28" s="5">
        <v>30548010</v>
      </c>
      <c r="P28" s="4">
        <v>12509240</v>
      </c>
      <c r="Q28" s="4">
        <v>13590792</v>
      </c>
      <c r="R28" s="4">
        <v>13874214</v>
      </c>
      <c r="S28" s="4">
        <v>16365005</v>
      </c>
    </row>
    <row r="29" spans="1:19" ht="16" x14ac:dyDescent="0.2">
      <c r="A29" s="3" t="s">
        <v>40</v>
      </c>
      <c r="B29" s="4" t="s">
        <v>24</v>
      </c>
      <c r="C29" s="4" t="s">
        <v>24</v>
      </c>
      <c r="D29" s="4" t="s">
        <v>24</v>
      </c>
      <c r="E29" s="4" t="s">
        <v>24</v>
      </c>
      <c r="F29" s="4" t="s">
        <v>24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5" t="s">
        <v>24</v>
      </c>
      <c r="P29" s="4" t="s">
        <v>24</v>
      </c>
      <c r="Q29" s="4" t="s">
        <v>24</v>
      </c>
      <c r="R29" s="4" t="s">
        <v>24</v>
      </c>
      <c r="S29" s="4" t="s">
        <v>24</v>
      </c>
    </row>
    <row r="30" spans="1:19" ht="16" x14ac:dyDescent="0.2">
      <c r="A30" s="3" t="s">
        <v>41</v>
      </c>
      <c r="B30" s="4">
        <v>26830872</v>
      </c>
      <c r="C30" s="4">
        <v>23885867</v>
      </c>
      <c r="D30" s="4">
        <v>27949901</v>
      </c>
      <c r="E30" s="4">
        <v>23838395</v>
      </c>
      <c r="F30" s="4">
        <v>10890478</v>
      </c>
      <c r="G30" s="4">
        <v>9993917</v>
      </c>
      <c r="H30" s="4">
        <v>8227067</v>
      </c>
      <c r="I30" s="4">
        <v>10326857</v>
      </c>
      <c r="J30" s="4">
        <v>11545760</v>
      </c>
      <c r="K30" s="4">
        <v>15714975</v>
      </c>
      <c r="L30" s="4">
        <v>10033158</v>
      </c>
      <c r="M30" s="4">
        <v>19332462</v>
      </c>
      <c r="N30" s="4">
        <v>27748429</v>
      </c>
      <c r="O30" s="5">
        <v>30548010</v>
      </c>
      <c r="P30" s="4">
        <v>12509240</v>
      </c>
      <c r="Q30" s="4">
        <v>13590792</v>
      </c>
      <c r="R30" s="4">
        <v>13874214</v>
      </c>
      <c r="S30" s="4">
        <v>16365005</v>
      </c>
    </row>
    <row r="31" spans="1:19" ht="16" x14ac:dyDescent="0.2">
      <c r="A31" s="3" t="s">
        <v>42</v>
      </c>
      <c r="B31" s="4">
        <v>565728928</v>
      </c>
      <c r="C31" s="4">
        <v>771357729</v>
      </c>
      <c r="D31" s="4">
        <v>961502965</v>
      </c>
      <c r="E31" s="4">
        <v>1077137191</v>
      </c>
      <c r="F31" s="4">
        <v>1033748380</v>
      </c>
      <c r="G31" s="4">
        <v>1051533850</v>
      </c>
      <c r="H31" s="4">
        <v>1156430301</v>
      </c>
      <c r="I31" s="4">
        <v>1461610510</v>
      </c>
      <c r="J31" s="4">
        <v>1599945126</v>
      </c>
      <c r="K31" s="4">
        <v>1707544307</v>
      </c>
      <c r="L31" s="4">
        <v>1690097765</v>
      </c>
      <c r="M31" s="4">
        <v>2771365222</v>
      </c>
      <c r="N31" s="4">
        <v>3579547277</v>
      </c>
      <c r="O31" s="5">
        <v>4295268339</v>
      </c>
      <c r="P31" s="4">
        <v>1439699783</v>
      </c>
      <c r="Q31" s="4">
        <v>1709303425</v>
      </c>
      <c r="R31" s="4">
        <v>1834598023</v>
      </c>
      <c r="S31" s="4">
        <v>2419838754</v>
      </c>
    </row>
    <row r="32" spans="1:19" ht="16" x14ac:dyDescent="0.2">
      <c r="A32" s="3" t="s">
        <v>43</v>
      </c>
      <c r="B32" s="4">
        <v>-13415436</v>
      </c>
      <c r="C32" s="4">
        <v>-11942934</v>
      </c>
      <c r="D32" s="4">
        <v>-13974951</v>
      </c>
      <c r="E32" s="4">
        <v>-11850300</v>
      </c>
      <c r="F32" s="4">
        <v>-5445239</v>
      </c>
      <c r="G32" s="4">
        <v>-4996958</v>
      </c>
      <c r="H32" s="4">
        <v>-4113534</v>
      </c>
      <c r="I32" s="4">
        <v>-5163429</v>
      </c>
      <c r="J32" s="4">
        <v>-5715723</v>
      </c>
      <c r="K32" s="4">
        <v>-7857488</v>
      </c>
      <c r="L32" s="4">
        <v>-5016579</v>
      </c>
      <c r="M32" s="4">
        <v>-9097629</v>
      </c>
      <c r="N32" s="4">
        <v>-13874214</v>
      </c>
      <c r="O32" s="5">
        <v>-16365005</v>
      </c>
      <c r="P32" s="4">
        <v>-5686018</v>
      </c>
      <c r="Q32" s="4">
        <v>-6272673</v>
      </c>
      <c r="R32" s="4">
        <v>-7470731</v>
      </c>
      <c r="S32" s="4">
        <v>-8728003</v>
      </c>
    </row>
    <row r="33" spans="1:19" ht="16" x14ac:dyDescent="0.2">
      <c r="A33" s="35" t="s">
        <v>44</v>
      </c>
      <c r="B33" s="31">
        <v>579144363</v>
      </c>
      <c r="C33" s="31">
        <v>783300663</v>
      </c>
      <c r="D33" s="31">
        <v>975477915</v>
      </c>
      <c r="E33" s="31">
        <v>1088987491</v>
      </c>
      <c r="F33" s="31">
        <v>1039193619</v>
      </c>
      <c r="G33" s="31">
        <v>1056530809</v>
      </c>
      <c r="H33" s="31">
        <v>1160543835</v>
      </c>
      <c r="I33" s="31">
        <v>1466773939</v>
      </c>
      <c r="J33" s="31">
        <v>1605660849</v>
      </c>
      <c r="K33" s="31">
        <v>1715401795</v>
      </c>
      <c r="L33" s="31">
        <v>1695114344</v>
      </c>
      <c r="M33" s="31">
        <v>2780462851</v>
      </c>
      <c r="N33" s="31">
        <v>3593421491</v>
      </c>
      <c r="O33" s="32">
        <v>4311633344</v>
      </c>
      <c r="P33" s="31">
        <v>1445385801</v>
      </c>
      <c r="Q33" s="31">
        <v>1715576098</v>
      </c>
      <c r="R33" s="31">
        <v>1842068754</v>
      </c>
      <c r="S33" s="31">
        <v>2428566757</v>
      </c>
    </row>
    <row r="34" spans="1:19" ht="16" x14ac:dyDescent="0.2">
      <c r="A34" s="30" t="s">
        <v>60</v>
      </c>
      <c r="B34" s="33">
        <v>17.98</v>
      </c>
      <c r="C34" s="33">
        <v>21.24</v>
      </c>
      <c r="D34" s="33">
        <v>21.24</v>
      </c>
      <c r="E34" s="33">
        <v>21.05</v>
      </c>
      <c r="F34" s="33">
        <v>20.85</v>
      </c>
      <c r="G34" s="33">
        <v>20.09</v>
      </c>
      <c r="H34" s="33">
        <v>21.15</v>
      </c>
      <c r="I34" s="33">
        <v>22.01</v>
      </c>
      <c r="J34" s="33">
        <v>23.54</v>
      </c>
      <c r="K34" s="33">
        <v>22.2</v>
      </c>
      <c r="L34" s="33">
        <v>21.68</v>
      </c>
      <c r="M34" s="33">
        <v>27.22</v>
      </c>
      <c r="N34" s="33">
        <v>29.02</v>
      </c>
      <c r="O34" s="34">
        <v>30.81</v>
      </c>
      <c r="P34" s="33">
        <v>26.78</v>
      </c>
      <c r="Q34" s="33">
        <v>29.98</v>
      </c>
      <c r="R34" s="33">
        <v>28.17</v>
      </c>
      <c r="S34" s="33">
        <v>33.229999999999997</v>
      </c>
    </row>
    <row r="35" spans="1:19" ht="16" x14ac:dyDescent="0.2">
      <c r="A35" s="13" t="s">
        <v>195</v>
      </c>
      <c r="B35" s="14"/>
      <c r="C35" s="15">
        <f>(C33/B33)-1</f>
        <v>0.35251366160668307</v>
      </c>
      <c r="D35" s="15">
        <f>(D33/C33)-1</f>
        <v>0.24534289459678393</v>
      </c>
      <c r="E35" s="15">
        <f>(E33/D33)-1</f>
        <v>0.11636304036673151</v>
      </c>
      <c r="F35" s="15">
        <f t="shared" ref="F35:N35" si="4">(F33/E33)-1</f>
        <v>-4.5724925595127863E-2</v>
      </c>
      <c r="G35" s="15">
        <f t="shared" si="4"/>
        <v>1.6683310677641838E-2</v>
      </c>
      <c r="H35" s="15">
        <f t="shared" si="4"/>
        <v>9.8447697988521154E-2</v>
      </c>
      <c r="I35" s="15">
        <f t="shared" si="4"/>
        <v>0.26386776161712144</v>
      </c>
      <c r="J35" s="15">
        <f t="shared" si="4"/>
        <v>9.4688694901880144E-2</v>
      </c>
      <c r="K35" s="15">
        <f t="shared" si="4"/>
        <v>6.8346280018190875E-2</v>
      </c>
      <c r="L35" s="15">
        <f t="shared" si="4"/>
        <v>-1.1826646712818634E-2</v>
      </c>
      <c r="M35" s="15">
        <f t="shared" si="4"/>
        <v>0.64028040989782342</v>
      </c>
      <c r="N35" s="15">
        <f t="shared" si="4"/>
        <v>0.29238248578204074</v>
      </c>
      <c r="O35" s="15">
        <f>(O33/N33)-1</f>
        <v>0.19986852496953578</v>
      </c>
      <c r="P35" s="15"/>
      <c r="Q35" s="15">
        <f>(Q33/P33)-1</f>
        <v>0.18693299519966722</v>
      </c>
      <c r="R35" s="15">
        <f>(R33/Q33)-1</f>
        <v>7.3731882921115321E-2</v>
      </c>
      <c r="S35" s="15">
        <f>(S33/R33)-1</f>
        <v>0.31839094047192118</v>
      </c>
    </row>
    <row r="36" spans="1:19" ht="16" x14ac:dyDescent="0.2">
      <c r="A36" s="16" t="s">
        <v>196</v>
      </c>
      <c r="B36" s="17">
        <f t="shared" ref="B36:S36" si="5">(B16*(1-0.25))/(B127+B106+B97)</f>
        <v>0.16916455692194524</v>
      </c>
      <c r="C36" s="17">
        <f t="shared" si="5"/>
        <v>0.20195905459532656</v>
      </c>
      <c r="D36" s="17">
        <f t="shared" si="5"/>
        <v>0.24425846352572456</v>
      </c>
      <c r="E36" s="17">
        <f t="shared" si="5"/>
        <v>0.22934505033688804</v>
      </c>
      <c r="F36" s="17">
        <f t="shared" si="5"/>
        <v>0.20408046571369837</v>
      </c>
      <c r="G36" s="17">
        <f t="shared" si="5"/>
        <v>0.22319857726857154</v>
      </c>
      <c r="H36" s="17">
        <f t="shared" si="5"/>
        <v>0.214145570182914</v>
      </c>
      <c r="I36" s="17">
        <f t="shared" si="5"/>
        <v>0.21591442137284073</v>
      </c>
      <c r="J36" s="17">
        <f t="shared" si="5"/>
        <v>0.2083072850971196</v>
      </c>
      <c r="K36" s="17">
        <f t="shared" si="5"/>
        <v>0.17876993716035414</v>
      </c>
      <c r="L36" s="17">
        <f t="shared" si="5"/>
        <v>0.13762237004613126</v>
      </c>
      <c r="M36" s="17">
        <f t="shared" si="5"/>
        <v>0.19442041524329723</v>
      </c>
      <c r="N36" s="17">
        <f t="shared" si="5"/>
        <v>0.2066186556816644</v>
      </c>
      <c r="O36" s="17">
        <f t="shared" si="5"/>
        <v>0.22180964339974915</v>
      </c>
      <c r="P36" s="17">
        <f t="shared" si="5"/>
        <v>9.9102508626387809E-2</v>
      </c>
      <c r="Q36" s="17">
        <f t="shared" si="5"/>
        <v>0.11775793648814185</v>
      </c>
      <c r="R36" s="17">
        <f t="shared" si="5"/>
        <v>0.10485253773737571</v>
      </c>
      <c r="S36" s="17">
        <f t="shared" si="5"/>
        <v>0.12163490417041581</v>
      </c>
    </row>
    <row r="37" spans="1:19" ht="16" x14ac:dyDescent="0.2">
      <c r="A37" s="3" t="s">
        <v>45</v>
      </c>
      <c r="B37" s="4" t="s">
        <v>24</v>
      </c>
      <c r="C37" s="4" t="s">
        <v>24</v>
      </c>
      <c r="D37" s="4" t="s">
        <v>24</v>
      </c>
      <c r="E37" s="4" t="s">
        <v>24</v>
      </c>
      <c r="F37" s="4" t="s">
        <v>24</v>
      </c>
      <c r="G37" s="4" t="s">
        <v>24</v>
      </c>
      <c r="H37" s="4" t="s">
        <v>24</v>
      </c>
      <c r="I37" s="4" t="s">
        <v>24</v>
      </c>
      <c r="J37" s="4" t="s">
        <v>24</v>
      </c>
      <c r="K37" s="4" t="s">
        <v>24</v>
      </c>
      <c r="L37" s="4" t="s">
        <v>24</v>
      </c>
      <c r="M37" s="4" t="s">
        <v>24</v>
      </c>
      <c r="N37" s="4" t="s">
        <v>24</v>
      </c>
      <c r="O37" s="5" t="s">
        <v>24</v>
      </c>
      <c r="P37" s="4" t="s">
        <v>24</v>
      </c>
      <c r="Q37" s="4" t="s">
        <v>24</v>
      </c>
      <c r="R37" s="4" t="s">
        <v>24</v>
      </c>
      <c r="S37" s="4" t="s">
        <v>24</v>
      </c>
    </row>
    <row r="38" spans="1:19" ht="16" x14ac:dyDescent="0.2">
      <c r="A38" s="3" t="s">
        <v>46</v>
      </c>
      <c r="B38" s="19" t="s">
        <v>24</v>
      </c>
      <c r="C38" s="19" t="s">
        <v>24</v>
      </c>
      <c r="D38" s="19" t="s">
        <v>24</v>
      </c>
      <c r="E38" s="19" t="s">
        <v>24</v>
      </c>
      <c r="F38" s="19" t="s">
        <v>24</v>
      </c>
      <c r="G38" s="19" t="s">
        <v>24</v>
      </c>
      <c r="H38" s="19" t="s">
        <v>24</v>
      </c>
      <c r="I38" s="19" t="s">
        <v>24</v>
      </c>
      <c r="J38" s="19" t="s">
        <v>24</v>
      </c>
      <c r="K38" s="19" t="s">
        <v>24</v>
      </c>
      <c r="L38" s="19" t="s">
        <v>24</v>
      </c>
      <c r="M38" s="19" t="s">
        <v>24</v>
      </c>
      <c r="N38" s="19" t="s">
        <v>24</v>
      </c>
      <c r="O38" s="20" t="s">
        <v>24</v>
      </c>
      <c r="P38" s="19" t="s">
        <v>24</v>
      </c>
      <c r="Q38" s="19" t="s">
        <v>24</v>
      </c>
      <c r="R38" s="19" t="s">
        <v>24</v>
      </c>
      <c r="S38" s="19" t="s">
        <v>24</v>
      </c>
    </row>
    <row r="39" spans="1:19" ht="16" x14ac:dyDescent="0.2">
      <c r="A39" s="3" t="s">
        <v>47</v>
      </c>
      <c r="B39" s="4">
        <v>579144363</v>
      </c>
      <c r="C39" s="4">
        <v>783300663</v>
      </c>
      <c r="D39" s="4">
        <v>975477915</v>
      </c>
      <c r="E39" s="4">
        <v>1088987491</v>
      </c>
      <c r="F39" s="4">
        <v>1039193619</v>
      </c>
      <c r="G39" s="4">
        <v>1056530809</v>
      </c>
      <c r="H39" s="4">
        <v>1160543835</v>
      </c>
      <c r="I39" s="4">
        <v>1466773939</v>
      </c>
      <c r="J39" s="4">
        <v>1605660849</v>
      </c>
      <c r="K39" s="4">
        <v>1715401795</v>
      </c>
      <c r="L39" s="4">
        <v>1695114344</v>
      </c>
      <c r="M39" s="4">
        <v>2780462851</v>
      </c>
      <c r="N39" s="4">
        <v>3593421491</v>
      </c>
      <c r="O39" s="5">
        <v>4311633344</v>
      </c>
      <c r="P39" s="4">
        <v>1445385801</v>
      </c>
      <c r="Q39" s="4">
        <v>1715576098</v>
      </c>
      <c r="R39" s="4">
        <v>1842068754</v>
      </c>
      <c r="S39" s="4">
        <v>2428566757</v>
      </c>
    </row>
    <row r="40" spans="1:19" ht="16" x14ac:dyDescent="0.2">
      <c r="A40" s="3" t="s">
        <v>48</v>
      </c>
      <c r="B40" s="4">
        <v>105162000</v>
      </c>
      <c r="C40" s="4">
        <v>104557000</v>
      </c>
      <c r="D40" s="4">
        <v>104087000</v>
      </c>
      <c r="E40" s="4">
        <v>104118000</v>
      </c>
      <c r="F40" s="4">
        <v>104268000</v>
      </c>
      <c r="G40" s="4">
        <v>104396000</v>
      </c>
      <c r="H40" s="4">
        <v>104519000</v>
      </c>
      <c r="I40" s="4">
        <v>104436000</v>
      </c>
      <c r="J40" s="4">
        <v>104227000</v>
      </c>
      <c r="K40" s="4">
        <v>104233000</v>
      </c>
      <c r="L40" s="4">
        <v>104431000</v>
      </c>
      <c r="M40" s="4">
        <v>104623000</v>
      </c>
      <c r="N40" s="4">
        <v>104565000</v>
      </c>
      <c r="O40" s="5">
        <v>104538000</v>
      </c>
      <c r="P40" s="4">
        <v>104644000</v>
      </c>
      <c r="Q40" s="4">
        <v>104593000</v>
      </c>
      <c r="R40" s="4">
        <v>104537000</v>
      </c>
      <c r="S40" s="4">
        <v>104539000</v>
      </c>
    </row>
    <row r="41" spans="1:19" ht="16" x14ac:dyDescent="0.2">
      <c r="A41" s="3" t="s">
        <v>49</v>
      </c>
      <c r="B41" s="6">
        <v>5.51</v>
      </c>
      <c r="C41" s="6">
        <v>7.49</v>
      </c>
      <c r="D41" s="6">
        <v>9.3699999999999992</v>
      </c>
      <c r="E41" s="6">
        <v>10.46</v>
      </c>
      <c r="F41" s="6">
        <v>9.9700000000000006</v>
      </c>
      <c r="G41" s="6">
        <v>10.119999999999999</v>
      </c>
      <c r="H41" s="6">
        <v>11.11</v>
      </c>
      <c r="I41" s="6">
        <v>14.05</v>
      </c>
      <c r="J41" s="6">
        <v>15.41</v>
      </c>
      <c r="K41" s="6">
        <v>16.46</v>
      </c>
      <c r="L41" s="6">
        <v>16.239999999999998</v>
      </c>
      <c r="M41" s="6">
        <v>26.58</v>
      </c>
      <c r="N41" s="6">
        <v>34.369999999999997</v>
      </c>
      <c r="O41" s="7">
        <v>41.24</v>
      </c>
      <c r="P41" s="6">
        <v>13.82</v>
      </c>
      <c r="Q41" s="6">
        <v>16.399999999999999</v>
      </c>
      <c r="R41" s="6">
        <v>17.62</v>
      </c>
      <c r="S41" s="6">
        <v>23.23</v>
      </c>
    </row>
    <row r="42" spans="1:19" ht="16" x14ac:dyDescent="0.2">
      <c r="A42" s="3" t="s">
        <v>50</v>
      </c>
      <c r="B42" s="6">
        <v>5.63</v>
      </c>
      <c r="C42" s="6">
        <v>7.61</v>
      </c>
      <c r="D42" s="6">
        <v>9.51</v>
      </c>
      <c r="E42" s="6">
        <v>10.57</v>
      </c>
      <c r="F42" s="6">
        <v>10.02</v>
      </c>
      <c r="G42" s="6">
        <v>10.17</v>
      </c>
      <c r="H42" s="6">
        <v>11.14</v>
      </c>
      <c r="I42" s="6">
        <v>14.1</v>
      </c>
      <c r="J42" s="6">
        <v>15.47</v>
      </c>
      <c r="K42" s="6">
        <v>16.53</v>
      </c>
      <c r="L42" s="6">
        <v>16.29</v>
      </c>
      <c r="M42" s="6">
        <v>26.68</v>
      </c>
      <c r="N42" s="6">
        <v>34.49</v>
      </c>
      <c r="O42" s="7">
        <v>41.38</v>
      </c>
      <c r="P42" s="6">
        <v>13.87</v>
      </c>
      <c r="Q42" s="6">
        <v>16.48</v>
      </c>
      <c r="R42" s="6">
        <v>17.68</v>
      </c>
      <c r="S42" s="6">
        <v>23.3</v>
      </c>
    </row>
    <row r="43" spans="1:19" ht="16" x14ac:dyDescent="0.2">
      <c r="A43" s="3" t="s">
        <v>51</v>
      </c>
      <c r="B43" s="4">
        <v>105428000</v>
      </c>
      <c r="C43" s="4">
        <v>104972000</v>
      </c>
      <c r="D43" s="4">
        <v>104684000</v>
      </c>
      <c r="E43" s="4">
        <v>104858000</v>
      </c>
      <c r="F43" s="4">
        <v>104823000</v>
      </c>
      <c r="G43" s="4">
        <v>105089000</v>
      </c>
      <c r="H43" s="4">
        <v>105119000</v>
      </c>
      <c r="I43" s="4">
        <v>105161000</v>
      </c>
      <c r="J43" s="4">
        <v>104880000</v>
      </c>
      <c r="K43" s="4">
        <v>105055000</v>
      </c>
      <c r="L43" s="4">
        <v>104889000</v>
      </c>
      <c r="M43" s="4">
        <v>104964000</v>
      </c>
      <c r="N43" s="4">
        <v>104936000</v>
      </c>
      <c r="O43" s="5">
        <v>104810000</v>
      </c>
      <c r="P43" s="4">
        <v>105019000</v>
      </c>
      <c r="Q43" s="4">
        <v>104950000</v>
      </c>
      <c r="R43" s="4">
        <v>104922000</v>
      </c>
      <c r="S43" s="4">
        <v>104698000</v>
      </c>
    </row>
    <row r="44" spans="1:19" ht="16" x14ac:dyDescent="0.2">
      <c r="A44" s="3" t="s">
        <v>52</v>
      </c>
      <c r="B44" s="6">
        <v>5.49</v>
      </c>
      <c r="C44" s="6">
        <v>7.46</v>
      </c>
      <c r="D44" s="6">
        <v>9.32</v>
      </c>
      <c r="E44" s="6">
        <v>10.39</v>
      </c>
      <c r="F44" s="6">
        <v>9.91</v>
      </c>
      <c r="G44" s="6">
        <v>10.06</v>
      </c>
      <c r="H44" s="6">
        <v>11.04</v>
      </c>
      <c r="I44" s="6">
        <v>13.95</v>
      </c>
      <c r="J44" s="6">
        <v>15.31</v>
      </c>
      <c r="K44" s="6">
        <v>16.329999999999998</v>
      </c>
      <c r="L44" s="6">
        <v>16.16</v>
      </c>
      <c r="M44" s="6">
        <v>26.49</v>
      </c>
      <c r="N44" s="6">
        <v>34.25</v>
      </c>
      <c r="O44" s="7">
        <v>41.14</v>
      </c>
      <c r="P44" s="6">
        <v>13.76</v>
      </c>
      <c r="Q44" s="6">
        <v>16.350000000000001</v>
      </c>
      <c r="R44" s="6">
        <v>17.559999999999999</v>
      </c>
      <c r="S44" s="6">
        <v>23.19</v>
      </c>
    </row>
    <row r="45" spans="1:19" ht="16" x14ac:dyDescent="0.2">
      <c r="A45" s="3" t="s">
        <v>53</v>
      </c>
      <c r="B45" s="6">
        <v>5.62</v>
      </c>
      <c r="C45" s="6">
        <v>7.58</v>
      </c>
      <c r="D45" s="6">
        <v>9.4499999999999993</v>
      </c>
      <c r="E45" s="6">
        <v>10.5</v>
      </c>
      <c r="F45" s="6">
        <v>9.9700000000000006</v>
      </c>
      <c r="G45" s="6">
        <v>10.1</v>
      </c>
      <c r="H45" s="6">
        <v>11.07</v>
      </c>
      <c r="I45" s="4">
        <v>14</v>
      </c>
      <c r="J45" s="6">
        <v>15.36</v>
      </c>
      <c r="K45" s="6">
        <v>16.399999999999999</v>
      </c>
      <c r="L45" s="6">
        <v>16.21</v>
      </c>
      <c r="M45" s="6">
        <v>26.59</v>
      </c>
      <c r="N45" s="6">
        <v>34.380000000000003</v>
      </c>
      <c r="O45" s="7">
        <v>41.27</v>
      </c>
      <c r="P45" s="6">
        <v>13.83</v>
      </c>
      <c r="Q45" s="6">
        <v>16.41</v>
      </c>
      <c r="R45" s="6">
        <v>17.62</v>
      </c>
      <c r="S45" s="6">
        <v>23.27</v>
      </c>
    </row>
    <row r="46" spans="1:19" ht="16" x14ac:dyDescent="0.2">
      <c r="A46" s="3" t="s">
        <v>54</v>
      </c>
      <c r="B46" s="4">
        <v>1026683302</v>
      </c>
      <c r="C46" s="4">
        <v>1293341814</v>
      </c>
      <c r="D46" s="4">
        <v>1633223465</v>
      </c>
      <c r="E46" s="4">
        <v>1869453789</v>
      </c>
      <c r="F46" s="4">
        <v>1760143268</v>
      </c>
      <c r="G46" s="4">
        <v>1884505086</v>
      </c>
      <c r="H46" s="4">
        <v>2031769144</v>
      </c>
      <c r="I46" s="4">
        <v>2599726219</v>
      </c>
      <c r="J46" s="4">
        <v>2850888218</v>
      </c>
      <c r="K46" s="4">
        <v>3159720268</v>
      </c>
      <c r="L46" s="4">
        <v>3119578123</v>
      </c>
      <c r="M46" s="4">
        <v>4729629856</v>
      </c>
      <c r="N46" s="4">
        <v>5791950826</v>
      </c>
      <c r="O46" s="5">
        <v>6609280060</v>
      </c>
      <c r="P46" s="4">
        <v>2419969303</v>
      </c>
      <c r="Q46" s="4">
        <v>2781930529</v>
      </c>
      <c r="R46" s="4">
        <v>2952005894</v>
      </c>
      <c r="S46" s="4">
        <v>3591573119</v>
      </c>
    </row>
    <row r="47" spans="1:19" ht="16" x14ac:dyDescent="0.2">
      <c r="A47" s="3" t="s">
        <v>55</v>
      </c>
      <c r="B47" s="6">
        <v>31.88</v>
      </c>
      <c r="C47" s="6">
        <v>35.07</v>
      </c>
      <c r="D47" s="6">
        <v>35.56</v>
      </c>
      <c r="E47" s="6">
        <v>36.130000000000003</v>
      </c>
      <c r="F47" s="6">
        <v>35.32</v>
      </c>
      <c r="G47" s="6">
        <v>35.840000000000003</v>
      </c>
      <c r="H47" s="6">
        <v>37.03</v>
      </c>
      <c r="I47" s="6">
        <v>39.020000000000003</v>
      </c>
      <c r="J47" s="6">
        <v>41.8</v>
      </c>
      <c r="K47" s="6">
        <v>40.89</v>
      </c>
      <c r="L47" s="6">
        <v>39.9</v>
      </c>
      <c r="M47" s="6">
        <v>46.3</v>
      </c>
      <c r="N47" s="6">
        <v>46.78</v>
      </c>
      <c r="O47" s="7">
        <v>47.24</v>
      </c>
      <c r="P47" s="6">
        <v>43.63</v>
      </c>
      <c r="Q47" s="6">
        <v>46.7</v>
      </c>
      <c r="R47" s="6">
        <v>46.57</v>
      </c>
      <c r="S47" s="6">
        <v>47.07</v>
      </c>
    </row>
    <row r="48" spans="1:19" ht="16" x14ac:dyDescent="0.2">
      <c r="A48" s="3" t="s">
        <v>56</v>
      </c>
      <c r="B48" s="4">
        <v>896419420</v>
      </c>
      <c r="C48" s="4">
        <v>1149117910</v>
      </c>
      <c r="D48" s="4">
        <v>1478839813</v>
      </c>
      <c r="E48" s="4">
        <v>1683018249</v>
      </c>
      <c r="F48" s="4">
        <v>1583596518</v>
      </c>
      <c r="G48" s="4">
        <v>1690492746</v>
      </c>
      <c r="H48" s="4">
        <v>1818920152</v>
      </c>
      <c r="I48" s="4">
        <v>2358245876</v>
      </c>
      <c r="J48" s="4">
        <v>2602825849</v>
      </c>
      <c r="K48" s="4">
        <v>2657177810</v>
      </c>
      <c r="L48" s="4">
        <v>2490425679</v>
      </c>
      <c r="M48" s="4">
        <v>4089384218</v>
      </c>
      <c r="N48" s="4">
        <v>5144131745</v>
      </c>
      <c r="O48" s="5">
        <v>5908857841</v>
      </c>
      <c r="P48" s="4">
        <v>2084494235</v>
      </c>
      <c r="Q48" s="4">
        <v>2481887664</v>
      </c>
      <c r="R48" s="4">
        <v>2610486774</v>
      </c>
      <c r="S48" s="4">
        <v>3240271010</v>
      </c>
    </row>
    <row r="49" spans="1:19" ht="16" x14ac:dyDescent="0.2">
      <c r="A49" s="3" t="s">
        <v>57</v>
      </c>
      <c r="B49" s="4">
        <v>896419420</v>
      </c>
      <c r="C49" s="4">
        <v>1149117910</v>
      </c>
      <c r="D49" s="4">
        <v>1478839813</v>
      </c>
      <c r="E49" s="4">
        <v>1683018249</v>
      </c>
      <c r="F49" s="4">
        <v>1583596518</v>
      </c>
      <c r="G49" s="4">
        <v>1690492746</v>
      </c>
      <c r="H49" s="4">
        <v>1818920152</v>
      </c>
      <c r="I49" s="4">
        <v>2358245876</v>
      </c>
      <c r="J49" s="4">
        <v>2387000156</v>
      </c>
      <c r="K49" s="4">
        <v>2657177810</v>
      </c>
      <c r="L49" s="4">
        <v>2490670390</v>
      </c>
      <c r="M49" s="4">
        <v>4089384218</v>
      </c>
      <c r="N49" s="4">
        <v>5144131745</v>
      </c>
      <c r="O49" s="5">
        <v>5908857841</v>
      </c>
      <c r="P49" s="4">
        <v>2084494235</v>
      </c>
      <c r="Q49" s="4">
        <v>2481887664</v>
      </c>
      <c r="R49" s="4">
        <v>2610486774</v>
      </c>
      <c r="S49" s="4">
        <v>3240271010</v>
      </c>
    </row>
    <row r="50" spans="1:19" ht="16" x14ac:dyDescent="0.2">
      <c r="A50" s="3" t="s">
        <v>61</v>
      </c>
      <c r="B50" s="4">
        <v>384984</v>
      </c>
      <c r="C50" s="4">
        <v>406155</v>
      </c>
      <c r="D50" s="4">
        <v>453984</v>
      </c>
      <c r="E50" s="4">
        <v>468777</v>
      </c>
      <c r="F50" s="4">
        <v>425305</v>
      </c>
      <c r="G50" s="4">
        <v>429496</v>
      </c>
      <c r="H50" s="4">
        <v>427539</v>
      </c>
      <c r="I50" s="4">
        <v>494204</v>
      </c>
      <c r="J50" s="4">
        <v>477465</v>
      </c>
      <c r="K50" s="4">
        <v>501174</v>
      </c>
      <c r="L50" s="4">
        <v>470952</v>
      </c>
      <c r="M50" s="4">
        <v>580527</v>
      </c>
      <c r="N50" s="4">
        <v>628931</v>
      </c>
      <c r="O50" s="5">
        <v>710763</v>
      </c>
      <c r="P50" s="4">
        <v>306745</v>
      </c>
      <c r="Q50" s="4">
        <v>325250</v>
      </c>
      <c r="R50" s="4">
        <v>332166</v>
      </c>
      <c r="S50" s="4">
        <v>371204</v>
      </c>
    </row>
    <row r="51" spans="1:19" ht="16" x14ac:dyDescent="0.2">
      <c r="A51" s="3" t="s">
        <v>62</v>
      </c>
      <c r="B51" s="6">
        <v>1.52</v>
      </c>
      <c r="C51" s="6">
        <v>2.08</v>
      </c>
      <c r="D51" s="6">
        <v>9.4</v>
      </c>
      <c r="E51" s="6">
        <v>3.61</v>
      </c>
      <c r="F51" s="6">
        <v>3.42</v>
      </c>
      <c r="G51" s="6">
        <v>8.74</v>
      </c>
      <c r="H51" s="6">
        <v>3.64</v>
      </c>
      <c r="I51" s="6">
        <v>4.62</v>
      </c>
      <c r="J51" s="6">
        <v>10.51</v>
      </c>
      <c r="K51" s="6">
        <v>5.24</v>
      </c>
      <c r="L51" s="6">
        <v>5.74</v>
      </c>
      <c r="M51" s="6">
        <v>5.32</v>
      </c>
      <c r="N51" s="6">
        <v>8.6999999999999993</v>
      </c>
      <c r="O51" s="7">
        <v>14.47</v>
      </c>
      <c r="P51" s="6">
        <v>0.01</v>
      </c>
      <c r="Q51" s="6">
        <v>8.5</v>
      </c>
      <c r="R51" s="6">
        <v>0.02</v>
      </c>
      <c r="S51" s="6">
        <v>14.44</v>
      </c>
    </row>
    <row r="52" spans="1:19" ht="16" x14ac:dyDescent="0.2">
      <c r="A52" s="3" t="s">
        <v>63</v>
      </c>
      <c r="B52" s="4">
        <v>130263882</v>
      </c>
      <c r="C52" s="4">
        <v>144223904</v>
      </c>
      <c r="D52" s="4">
        <v>154383652</v>
      </c>
      <c r="E52" s="4">
        <v>186435540</v>
      </c>
      <c r="F52" s="4">
        <v>176546750</v>
      </c>
      <c r="G52" s="4">
        <v>194012341</v>
      </c>
      <c r="H52" s="4">
        <v>212848992</v>
      </c>
      <c r="I52" s="4">
        <v>241480343</v>
      </c>
      <c r="J52" s="4">
        <v>248062370</v>
      </c>
      <c r="K52" s="4">
        <v>502542458</v>
      </c>
      <c r="L52" s="4">
        <v>629152444</v>
      </c>
      <c r="M52" s="4">
        <v>640245638</v>
      </c>
      <c r="N52" s="4">
        <v>647819081</v>
      </c>
      <c r="O52" s="5">
        <v>700422218</v>
      </c>
      <c r="P52" s="4">
        <v>335475068</v>
      </c>
      <c r="Q52" s="4">
        <v>300042864</v>
      </c>
      <c r="R52" s="4">
        <v>341519120</v>
      </c>
      <c r="S52" s="4">
        <v>351302109</v>
      </c>
    </row>
    <row r="55" spans="1:19" ht="16" x14ac:dyDescent="0.2">
      <c r="A55" s="3" t="s">
        <v>64</v>
      </c>
      <c r="B55" s="4">
        <v>2097905850</v>
      </c>
      <c r="C55" s="4">
        <v>2429218645</v>
      </c>
      <c r="D55" s="4">
        <v>2376796304</v>
      </c>
      <c r="E55" s="4">
        <v>3099266944</v>
      </c>
      <c r="F55" s="4">
        <v>3378105295</v>
      </c>
      <c r="G55" s="4">
        <v>3362301213</v>
      </c>
      <c r="H55" s="4">
        <v>4021664625</v>
      </c>
      <c r="I55" s="4">
        <v>5368284543</v>
      </c>
      <c r="J55" s="4">
        <v>5695832085</v>
      </c>
      <c r="K55" s="4">
        <v>6836575470</v>
      </c>
      <c r="L55" s="4">
        <v>8136279668</v>
      </c>
      <c r="M55" s="4">
        <v>10058566019</v>
      </c>
      <c r="N55" s="4">
        <v>12623400473</v>
      </c>
      <c r="O55" s="5">
        <v>13657142256</v>
      </c>
      <c r="P55" s="4">
        <v>10058566019</v>
      </c>
      <c r="Q55" s="4">
        <v>10297638372</v>
      </c>
      <c r="R55" s="4">
        <v>12623400473</v>
      </c>
      <c r="S55" s="4">
        <v>13657142256</v>
      </c>
    </row>
    <row r="56" spans="1:19" ht="16" x14ac:dyDescent="0.2">
      <c r="A56" s="3" t="s">
        <v>65</v>
      </c>
      <c r="B56" s="4">
        <v>1161105968</v>
      </c>
      <c r="C56" s="4">
        <v>1383692702</v>
      </c>
      <c r="D56" s="4">
        <v>990639418</v>
      </c>
      <c r="E56" s="4">
        <v>1544259499</v>
      </c>
      <c r="F56" s="4">
        <v>1792088671</v>
      </c>
      <c r="G56" s="4">
        <v>1768706007</v>
      </c>
      <c r="H56" s="4">
        <v>2499129839</v>
      </c>
      <c r="I56" s="4">
        <v>3520617692</v>
      </c>
      <c r="J56" s="4">
        <v>3977114239</v>
      </c>
      <c r="K56" s="4">
        <v>4921256740</v>
      </c>
      <c r="L56" s="4">
        <v>5790723008</v>
      </c>
      <c r="M56" s="4">
        <v>7614715440</v>
      </c>
      <c r="N56" s="4">
        <v>9845355881</v>
      </c>
      <c r="O56" s="5">
        <v>10199762179</v>
      </c>
      <c r="P56" s="4">
        <v>7614715440</v>
      </c>
      <c r="Q56" s="4">
        <v>7624434177</v>
      </c>
      <c r="R56" s="4">
        <v>9845355881</v>
      </c>
      <c r="S56" s="4">
        <v>10199762179</v>
      </c>
    </row>
    <row r="57" spans="1:19" ht="16" x14ac:dyDescent="0.2">
      <c r="A57" s="3" t="s">
        <v>66</v>
      </c>
      <c r="B57" s="4">
        <v>1131994473</v>
      </c>
      <c r="C57" s="4">
        <v>1360715537</v>
      </c>
      <c r="D57" s="4">
        <v>918918917</v>
      </c>
      <c r="E57" s="4">
        <v>1451937391</v>
      </c>
      <c r="F57" s="4">
        <v>1744412578</v>
      </c>
      <c r="G57" s="4">
        <v>1726340491</v>
      </c>
      <c r="H57" s="4">
        <v>2456412375</v>
      </c>
      <c r="I57" s="4">
        <v>3520617692</v>
      </c>
      <c r="J57" s="4">
        <v>3977114239</v>
      </c>
      <c r="K57" s="4">
        <v>4921256740</v>
      </c>
      <c r="L57" s="4">
        <v>5790723008</v>
      </c>
      <c r="M57" s="4">
        <v>7614715440</v>
      </c>
      <c r="N57" s="4">
        <v>9845355881</v>
      </c>
      <c r="O57" s="5">
        <v>10199762179</v>
      </c>
      <c r="P57" s="4">
        <v>7614715440</v>
      </c>
      <c r="Q57" s="4">
        <v>7624434177</v>
      </c>
      <c r="R57" s="4">
        <v>9845355881</v>
      </c>
      <c r="S57" s="4">
        <v>10199762179</v>
      </c>
    </row>
    <row r="58" spans="1:19" ht="16" x14ac:dyDescent="0.2">
      <c r="A58" s="3" t="s">
        <v>67</v>
      </c>
      <c r="B58" s="4">
        <v>29111496</v>
      </c>
      <c r="C58" s="4">
        <v>22977166</v>
      </c>
      <c r="D58" s="4">
        <v>71720501</v>
      </c>
      <c r="E58" s="4">
        <v>92322108</v>
      </c>
      <c r="F58" s="4">
        <v>47676093</v>
      </c>
      <c r="G58" s="4">
        <v>42365517</v>
      </c>
      <c r="H58" s="4">
        <v>42717464</v>
      </c>
      <c r="I58" s="4" t="s">
        <v>24</v>
      </c>
      <c r="J58" s="4" t="s">
        <v>24</v>
      </c>
      <c r="K58" s="4" t="s">
        <v>24</v>
      </c>
      <c r="L58" s="4" t="s">
        <v>24</v>
      </c>
      <c r="M58" s="4" t="s">
        <v>24</v>
      </c>
      <c r="N58" s="4" t="s">
        <v>24</v>
      </c>
      <c r="O58" s="5" t="s">
        <v>24</v>
      </c>
      <c r="P58" s="4" t="s">
        <v>24</v>
      </c>
      <c r="Q58" s="4" t="s">
        <v>24</v>
      </c>
      <c r="R58" s="4" t="s">
        <v>24</v>
      </c>
      <c r="S58" s="4" t="s">
        <v>24</v>
      </c>
    </row>
    <row r="59" spans="1:19" ht="16" x14ac:dyDescent="0.2">
      <c r="A59" s="3" t="s">
        <v>68</v>
      </c>
      <c r="B59" s="4">
        <v>213305429</v>
      </c>
      <c r="C59" s="4">
        <v>350628951</v>
      </c>
      <c r="D59" s="4">
        <v>426763348</v>
      </c>
      <c r="E59" s="4">
        <v>426197433</v>
      </c>
      <c r="F59" s="4">
        <v>471920717</v>
      </c>
      <c r="G59" s="4">
        <v>527939516</v>
      </c>
      <c r="H59" s="4">
        <v>533282707</v>
      </c>
      <c r="I59" s="4">
        <v>603640818</v>
      </c>
      <c r="J59" s="4">
        <v>548823703</v>
      </c>
      <c r="K59" s="4">
        <v>356842187</v>
      </c>
      <c r="L59" s="4">
        <v>542035264</v>
      </c>
      <c r="M59" s="4">
        <v>670950136</v>
      </c>
      <c r="N59" s="4">
        <v>689441724</v>
      </c>
      <c r="O59" s="5">
        <v>452765141</v>
      </c>
      <c r="P59" s="4">
        <v>670950136</v>
      </c>
      <c r="Q59" s="4">
        <v>485086721</v>
      </c>
      <c r="R59" s="4">
        <v>689441724</v>
      </c>
      <c r="S59" s="4">
        <v>452765141</v>
      </c>
    </row>
    <row r="60" spans="1:19" ht="16" x14ac:dyDescent="0.2">
      <c r="A60" s="3" t="s">
        <v>69</v>
      </c>
      <c r="B60" s="4">
        <v>213305429</v>
      </c>
      <c r="C60" s="4">
        <v>228084068</v>
      </c>
      <c r="D60" s="4">
        <v>273038892</v>
      </c>
      <c r="E60" s="4">
        <v>266769554</v>
      </c>
      <c r="F60" s="4">
        <v>301666243</v>
      </c>
      <c r="G60" s="4">
        <v>329147476</v>
      </c>
      <c r="H60" s="4">
        <v>324019873</v>
      </c>
      <c r="I60" s="4">
        <v>307284037</v>
      </c>
      <c r="J60" s="4">
        <v>320880678</v>
      </c>
      <c r="K60" s="4">
        <v>356842187</v>
      </c>
      <c r="L60" s="4">
        <v>305521908</v>
      </c>
      <c r="M60" s="4">
        <v>378688805</v>
      </c>
      <c r="N60" s="4">
        <v>408755697</v>
      </c>
      <c r="O60" s="5">
        <v>452765141</v>
      </c>
      <c r="P60" s="4">
        <v>378688805</v>
      </c>
      <c r="Q60" s="4">
        <v>485086721</v>
      </c>
      <c r="R60" s="4">
        <v>408755697</v>
      </c>
      <c r="S60" s="4">
        <v>452765141</v>
      </c>
    </row>
    <row r="61" spans="1:19" ht="16" x14ac:dyDescent="0.2">
      <c r="A61" s="3" t="s">
        <v>70</v>
      </c>
      <c r="B61" s="4" t="s">
        <v>24</v>
      </c>
      <c r="C61" s="4" t="s">
        <v>24</v>
      </c>
      <c r="D61" s="4" t="s">
        <v>24</v>
      </c>
      <c r="E61" s="4" t="s">
        <v>24</v>
      </c>
      <c r="F61" s="4" t="s">
        <v>24</v>
      </c>
      <c r="G61" s="4" t="s">
        <v>24</v>
      </c>
      <c r="H61" s="4" t="s">
        <v>24</v>
      </c>
      <c r="I61" s="4" t="s">
        <v>24</v>
      </c>
      <c r="J61" s="4" t="s">
        <v>24</v>
      </c>
      <c r="K61" s="4" t="s">
        <v>24</v>
      </c>
      <c r="L61" s="4" t="s">
        <v>24</v>
      </c>
      <c r="M61" s="4" t="s">
        <v>24</v>
      </c>
      <c r="N61" s="4" t="s">
        <v>24</v>
      </c>
      <c r="O61" s="5" t="s">
        <v>24</v>
      </c>
      <c r="P61" s="4" t="s">
        <v>24</v>
      </c>
      <c r="Q61" s="4" t="s">
        <v>24</v>
      </c>
      <c r="R61" s="4" t="s">
        <v>24</v>
      </c>
      <c r="S61" s="4" t="s">
        <v>24</v>
      </c>
    </row>
    <row r="62" spans="1:19" ht="16" x14ac:dyDescent="0.2">
      <c r="A62" s="3" t="s">
        <v>71</v>
      </c>
      <c r="B62" s="4" t="s">
        <v>24</v>
      </c>
      <c r="C62" s="4" t="s">
        <v>24</v>
      </c>
      <c r="D62" s="4" t="s">
        <v>24</v>
      </c>
      <c r="E62" s="4" t="s">
        <v>24</v>
      </c>
      <c r="F62" s="4" t="s">
        <v>24</v>
      </c>
      <c r="G62" s="4" t="s">
        <v>24</v>
      </c>
      <c r="H62" s="4" t="s">
        <v>24</v>
      </c>
      <c r="I62" s="4" t="s">
        <v>24</v>
      </c>
      <c r="J62" s="4" t="s">
        <v>24</v>
      </c>
      <c r="K62" s="4" t="s">
        <v>24</v>
      </c>
      <c r="L62" s="4" t="s">
        <v>24</v>
      </c>
      <c r="M62" s="4" t="s">
        <v>24</v>
      </c>
      <c r="N62" s="4" t="s">
        <v>24</v>
      </c>
      <c r="O62" s="5" t="s">
        <v>24</v>
      </c>
      <c r="P62" s="4" t="s">
        <v>24</v>
      </c>
      <c r="Q62" s="4" t="s">
        <v>24</v>
      </c>
      <c r="R62" s="4" t="s">
        <v>24</v>
      </c>
      <c r="S62" s="4" t="s">
        <v>24</v>
      </c>
    </row>
    <row r="63" spans="1:19" ht="16" x14ac:dyDescent="0.2">
      <c r="A63" s="3" t="s">
        <v>72</v>
      </c>
      <c r="B63" s="4" t="s">
        <v>24</v>
      </c>
      <c r="C63" s="4">
        <v>122544883</v>
      </c>
      <c r="D63" s="4">
        <v>153724456</v>
      </c>
      <c r="E63" s="4">
        <v>159427879</v>
      </c>
      <c r="F63" s="4">
        <v>170254474</v>
      </c>
      <c r="G63" s="4">
        <v>198792040</v>
      </c>
      <c r="H63" s="4">
        <v>209262834</v>
      </c>
      <c r="I63" s="4">
        <v>296356781</v>
      </c>
      <c r="J63" s="4">
        <v>227943025</v>
      </c>
      <c r="K63" s="4" t="s">
        <v>24</v>
      </c>
      <c r="L63" s="4">
        <v>236513355</v>
      </c>
      <c r="M63" s="4">
        <v>292261330</v>
      </c>
      <c r="N63" s="4">
        <v>280686027</v>
      </c>
      <c r="O63" s="5" t="s">
        <v>24</v>
      </c>
      <c r="P63" s="4">
        <v>292261330</v>
      </c>
      <c r="Q63" s="4" t="s">
        <v>24</v>
      </c>
      <c r="R63" s="4">
        <v>280686027</v>
      </c>
      <c r="S63" s="4" t="s">
        <v>24</v>
      </c>
    </row>
    <row r="64" spans="1:19" ht="16" x14ac:dyDescent="0.2">
      <c r="A64" s="3" t="s">
        <v>73</v>
      </c>
      <c r="B64" s="4">
        <v>628647322</v>
      </c>
      <c r="C64" s="4">
        <v>693858476</v>
      </c>
      <c r="D64" s="4">
        <v>958338825</v>
      </c>
      <c r="E64" s="4">
        <v>1120817950</v>
      </c>
      <c r="F64" s="4">
        <v>1103568445</v>
      </c>
      <c r="G64" s="4">
        <v>1031111499</v>
      </c>
      <c r="H64" s="4">
        <v>965203729</v>
      </c>
      <c r="I64" s="4">
        <v>1076154567</v>
      </c>
      <c r="J64" s="4">
        <v>1101534098</v>
      </c>
      <c r="K64" s="4">
        <v>1271341495</v>
      </c>
      <c r="L64" s="4">
        <v>1577652977</v>
      </c>
      <c r="M64" s="4">
        <v>1647808045</v>
      </c>
      <c r="N64" s="4">
        <v>1898632858</v>
      </c>
      <c r="O64" s="5">
        <v>2270371708</v>
      </c>
      <c r="P64" s="4">
        <v>1647808045</v>
      </c>
      <c r="Q64" s="4">
        <v>1690485406</v>
      </c>
      <c r="R64" s="4">
        <v>1898632858</v>
      </c>
      <c r="S64" s="4">
        <v>2270371708</v>
      </c>
    </row>
    <row r="65" spans="1:19" ht="16" x14ac:dyDescent="0.2">
      <c r="A65" s="3" t="s">
        <v>74</v>
      </c>
      <c r="B65" s="4">
        <v>334983432</v>
      </c>
      <c r="C65" s="4">
        <v>301818701</v>
      </c>
      <c r="D65" s="4">
        <v>552274224</v>
      </c>
      <c r="E65" s="4">
        <v>657967262</v>
      </c>
      <c r="F65" s="4">
        <v>616764075</v>
      </c>
      <c r="G65" s="4">
        <v>579104024</v>
      </c>
      <c r="H65" s="4">
        <v>577898725</v>
      </c>
      <c r="I65" s="4">
        <v>685655275</v>
      </c>
      <c r="J65" s="4">
        <v>686115365</v>
      </c>
      <c r="K65" s="4">
        <v>426549327</v>
      </c>
      <c r="L65" s="4">
        <v>552924911</v>
      </c>
      <c r="M65" s="4">
        <v>556092570</v>
      </c>
      <c r="N65" s="4">
        <v>693710713</v>
      </c>
      <c r="O65" s="5">
        <v>1302654406</v>
      </c>
      <c r="P65" s="4">
        <v>556092570</v>
      </c>
      <c r="Q65" s="4">
        <v>570813254</v>
      </c>
      <c r="R65" s="4">
        <v>693710713</v>
      </c>
      <c r="S65" s="4">
        <v>1302654406</v>
      </c>
    </row>
    <row r="66" spans="1:19" ht="16" x14ac:dyDescent="0.2">
      <c r="A66" s="3" t="s">
        <v>75</v>
      </c>
      <c r="B66" s="4" t="s">
        <v>24</v>
      </c>
      <c r="C66" s="4" t="s">
        <v>24</v>
      </c>
      <c r="D66" s="4" t="s">
        <v>24</v>
      </c>
      <c r="E66" s="4" t="s">
        <v>24</v>
      </c>
      <c r="F66" s="4" t="s">
        <v>24</v>
      </c>
      <c r="G66" s="4" t="s">
        <v>24</v>
      </c>
      <c r="H66" s="4" t="s">
        <v>24</v>
      </c>
      <c r="I66" s="4" t="s">
        <v>24</v>
      </c>
      <c r="J66" s="4" t="s">
        <v>24</v>
      </c>
      <c r="K66" s="4" t="s">
        <v>24</v>
      </c>
      <c r="L66" s="4" t="s">
        <v>24</v>
      </c>
      <c r="M66" s="4" t="s">
        <v>24</v>
      </c>
      <c r="N66" s="4" t="s">
        <v>24</v>
      </c>
      <c r="O66" s="5" t="s">
        <v>24</v>
      </c>
      <c r="P66" s="4" t="s">
        <v>24</v>
      </c>
      <c r="Q66" s="4" t="s">
        <v>24</v>
      </c>
      <c r="R66" s="4" t="s">
        <v>24</v>
      </c>
      <c r="S66" s="4" t="s">
        <v>24</v>
      </c>
    </row>
    <row r="67" spans="1:19" ht="16" x14ac:dyDescent="0.2">
      <c r="A67" s="3" t="s">
        <v>76</v>
      </c>
      <c r="B67" s="4">
        <v>613890342</v>
      </c>
      <c r="C67" s="4">
        <v>392039775</v>
      </c>
      <c r="D67" s="4">
        <v>780224125</v>
      </c>
      <c r="E67" s="4">
        <v>939343000</v>
      </c>
      <c r="F67" s="4">
        <v>1024551977</v>
      </c>
      <c r="G67" s="4">
        <v>1062396803</v>
      </c>
      <c r="H67" s="4">
        <v>1085867380</v>
      </c>
      <c r="I67" s="4">
        <v>1137515311</v>
      </c>
      <c r="J67" s="4">
        <v>1178353412</v>
      </c>
      <c r="K67" s="4">
        <v>844792168</v>
      </c>
      <c r="L67" s="4">
        <v>1024728066</v>
      </c>
      <c r="M67" s="4">
        <v>1090578272</v>
      </c>
      <c r="N67" s="4">
        <v>1204922145</v>
      </c>
      <c r="O67" s="5">
        <v>1847063576</v>
      </c>
      <c r="P67" s="4">
        <v>1090578272</v>
      </c>
      <c r="Q67" s="4">
        <v>1119672152</v>
      </c>
      <c r="R67" s="4">
        <v>1204922145</v>
      </c>
      <c r="S67" s="4">
        <v>1847063576</v>
      </c>
    </row>
    <row r="68" spans="1:19" ht="16" x14ac:dyDescent="0.2">
      <c r="A68" s="3" t="s">
        <v>77</v>
      </c>
      <c r="B68" s="4">
        <v>-320226453</v>
      </c>
      <c r="C68" s="4">
        <v>-334531954</v>
      </c>
      <c r="D68" s="4">
        <v>-374159525</v>
      </c>
      <c r="E68" s="4">
        <v>-476630107</v>
      </c>
      <c r="F68" s="4">
        <v>-537747607</v>
      </c>
      <c r="G68" s="4">
        <v>-610280700</v>
      </c>
      <c r="H68" s="4">
        <v>-698667851</v>
      </c>
      <c r="I68" s="4">
        <v>-747016019</v>
      </c>
      <c r="J68" s="4">
        <v>-762934679</v>
      </c>
      <c r="K68" s="4" t="s">
        <v>24</v>
      </c>
      <c r="L68" s="4" t="s">
        <v>24</v>
      </c>
      <c r="M68" s="4" t="s">
        <v>24</v>
      </c>
      <c r="N68" s="4" t="s">
        <v>24</v>
      </c>
      <c r="O68" s="5">
        <v>-874982273</v>
      </c>
      <c r="P68" s="4" t="s">
        <v>24</v>
      </c>
      <c r="Q68" s="4" t="s">
        <v>24</v>
      </c>
      <c r="R68" s="4" t="s">
        <v>24</v>
      </c>
      <c r="S68" s="4">
        <v>-874982273</v>
      </c>
    </row>
    <row r="69" spans="1:19" ht="16" x14ac:dyDescent="0.2">
      <c r="A69" s="3" t="s">
        <v>78</v>
      </c>
      <c r="B69" s="4" t="s">
        <v>24</v>
      </c>
      <c r="C69" s="4">
        <v>334531954</v>
      </c>
      <c r="D69" s="4" t="s">
        <v>24</v>
      </c>
      <c r="E69" s="4">
        <v>137794</v>
      </c>
      <c r="F69" s="4" t="s">
        <v>24</v>
      </c>
      <c r="G69" s="4">
        <v>-108630</v>
      </c>
      <c r="H69" s="4">
        <v>105475</v>
      </c>
      <c r="I69" s="4" t="s">
        <v>24</v>
      </c>
      <c r="J69" s="4" t="s">
        <v>24</v>
      </c>
      <c r="K69" s="4" t="s">
        <v>24</v>
      </c>
      <c r="L69" s="4" t="s">
        <v>24</v>
      </c>
      <c r="M69" s="4">
        <v>1137204</v>
      </c>
      <c r="N69" s="4" t="s">
        <v>24</v>
      </c>
      <c r="O69" s="5">
        <v>-4364001</v>
      </c>
      <c r="P69" s="4">
        <v>1137204</v>
      </c>
      <c r="Q69" s="4" t="s">
        <v>24</v>
      </c>
      <c r="R69" s="4" t="s">
        <v>24</v>
      </c>
      <c r="S69" s="4">
        <v>-4364001</v>
      </c>
    </row>
    <row r="70" spans="1:19" ht="16" x14ac:dyDescent="0.2">
      <c r="A70" s="3" t="s">
        <v>79</v>
      </c>
      <c r="B70" s="4">
        <v>94847131</v>
      </c>
      <c r="C70" s="4">
        <v>1038516</v>
      </c>
      <c r="D70" s="4">
        <v>1054713</v>
      </c>
      <c r="E70" s="4">
        <v>7992063</v>
      </c>
      <c r="F70" s="4">
        <v>10527462</v>
      </c>
      <c r="G70" s="4">
        <v>34544191</v>
      </c>
      <c r="H70" s="4">
        <v>24048350</v>
      </c>
      <c r="I70" s="4">
        <v>167871467</v>
      </c>
      <c r="J70" s="4">
        <v>68360045</v>
      </c>
      <c r="K70" s="4">
        <v>287135047</v>
      </c>
      <c r="L70" s="4">
        <v>225868419</v>
      </c>
      <c r="M70" s="4">
        <v>125092398</v>
      </c>
      <c r="N70" s="4">
        <v>189970011</v>
      </c>
      <c r="O70" s="5">
        <v>734243229</v>
      </c>
      <c r="P70" s="4">
        <v>125092398</v>
      </c>
      <c r="Q70" s="4">
        <v>497632068</v>
      </c>
      <c r="R70" s="4">
        <v>189970011</v>
      </c>
      <c r="S70" s="4">
        <v>734243229</v>
      </c>
    </row>
    <row r="71" spans="1:19" ht="16" x14ac:dyDescent="0.2">
      <c r="A71" s="3" t="s">
        <v>80</v>
      </c>
      <c r="B71" s="4" t="s">
        <v>24</v>
      </c>
      <c r="C71" s="4" t="s">
        <v>24</v>
      </c>
      <c r="D71" s="4" t="s">
        <v>24</v>
      </c>
      <c r="E71" s="4" t="s">
        <v>24</v>
      </c>
      <c r="F71" s="4" t="s">
        <v>24</v>
      </c>
      <c r="G71" s="4" t="s">
        <v>24</v>
      </c>
      <c r="H71" s="4" t="s">
        <v>24</v>
      </c>
      <c r="I71" s="4" t="s">
        <v>24</v>
      </c>
      <c r="J71" s="4" t="s">
        <v>24</v>
      </c>
      <c r="K71" s="4" t="s">
        <v>24</v>
      </c>
      <c r="L71" s="4" t="s">
        <v>24</v>
      </c>
      <c r="M71" s="4" t="s">
        <v>24</v>
      </c>
      <c r="N71" s="4" t="s">
        <v>24</v>
      </c>
      <c r="O71" s="5" t="s">
        <v>24</v>
      </c>
      <c r="P71" s="4" t="s">
        <v>24</v>
      </c>
      <c r="Q71" s="4" t="s">
        <v>24</v>
      </c>
      <c r="R71" s="4" t="s">
        <v>24</v>
      </c>
      <c r="S71" s="4" t="s">
        <v>24</v>
      </c>
    </row>
    <row r="72" spans="1:19" ht="16" x14ac:dyDescent="0.2">
      <c r="A72" s="3" t="s">
        <v>81</v>
      </c>
      <c r="B72" s="4" t="s">
        <v>24</v>
      </c>
      <c r="C72" s="4" t="s">
        <v>24</v>
      </c>
      <c r="D72" s="4" t="s">
        <v>24</v>
      </c>
      <c r="E72" s="4" t="s">
        <v>24</v>
      </c>
      <c r="F72" s="4" t="s">
        <v>24</v>
      </c>
      <c r="G72" s="4" t="s">
        <v>24</v>
      </c>
      <c r="H72" s="4" t="s">
        <v>24</v>
      </c>
      <c r="I72" s="4" t="s">
        <v>24</v>
      </c>
      <c r="J72" s="4" t="s">
        <v>24</v>
      </c>
      <c r="K72" s="4" t="s">
        <v>24</v>
      </c>
      <c r="L72" s="4" t="s">
        <v>24</v>
      </c>
      <c r="M72" s="4" t="s">
        <v>24</v>
      </c>
      <c r="N72" s="4" t="s">
        <v>24</v>
      </c>
      <c r="O72" s="5" t="s">
        <v>24</v>
      </c>
      <c r="P72" s="4" t="s">
        <v>24</v>
      </c>
      <c r="Q72" s="4" t="s">
        <v>24</v>
      </c>
      <c r="R72" s="4" t="s">
        <v>24</v>
      </c>
      <c r="S72" s="4" t="s">
        <v>24</v>
      </c>
    </row>
    <row r="73" spans="1:19" ht="16" x14ac:dyDescent="0.2">
      <c r="A73" s="3" t="s">
        <v>82</v>
      </c>
      <c r="B73" s="4" t="s">
        <v>24</v>
      </c>
      <c r="C73" s="4" t="s">
        <v>24</v>
      </c>
      <c r="D73" s="4" t="s">
        <v>24</v>
      </c>
      <c r="E73" s="4" t="s">
        <v>24</v>
      </c>
      <c r="F73" s="4" t="s">
        <v>24</v>
      </c>
      <c r="G73" s="4" t="s">
        <v>24</v>
      </c>
      <c r="H73" s="4" t="s">
        <v>24</v>
      </c>
      <c r="I73" s="4" t="s">
        <v>24</v>
      </c>
      <c r="J73" s="4" t="s">
        <v>24</v>
      </c>
      <c r="K73" s="4" t="s">
        <v>24</v>
      </c>
      <c r="L73" s="4" t="s">
        <v>24</v>
      </c>
      <c r="M73" s="4" t="s">
        <v>24</v>
      </c>
      <c r="N73" s="4" t="s">
        <v>24</v>
      </c>
      <c r="O73" s="5" t="s">
        <v>24</v>
      </c>
      <c r="P73" s="4" t="s">
        <v>24</v>
      </c>
      <c r="Q73" s="4" t="s">
        <v>24</v>
      </c>
      <c r="R73" s="4" t="s">
        <v>24</v>
      </c>
      <c r="S73" s="4" t="s">
        <v>24</v>
      </c>
    </row>
    <row r="74" spans="1:19" ht="16" x14ac:dyDescent="0.2">
      <c r="A74" s="3" t="s">
        <v>83</v>
      </c>
      <c r="B74" s="4" t="s">
        <v>24</v>
      </c>
      <c r="C74" s="4" t="s">
        <v>24</v>
      </c>
      <c r="D74" s="4" t="s">
        <v>24</v>
      </c>
      <c r="E74" s="4" t="s">
        <v>24</v>
      </c>
      <c r="F74" s="4" t="s">
        <v>24</v>
      </c>
      <c r="G74" s="4" t="s">
        <v>24</v>
      </c>
      <c r="H74" s="4" t="s">
        <v>24</v>
      </c>
      <c r="I74" s="4" t="s">
        <v>24</v>
      </c>
      <c r="J74" s="4" t="s">
        <v>24</v>
      </c>
      <c r="K74" s="4" t="s">
        <v>24</v>
      </c>
      <c r="L74" s="4" t="s">
        <v>24</v>
      </c>
      <c r="M74" s="4" t="s">
        <v>24</v>
      </c>
      <c r="N74" s="4" t="s">
        <v>24</v>
      </c>
      <c r="O74" s="5" t="s">
        <v>24</v>
      </c>
      <c r="P74" s="4" t="s">
        <v>24</v>
      </c>
      <c r="Q74" s="4" t="s">
        <v>24</v>
      </c>
      <c r="R74" s="4" t="s">
        <v>24</v>
      </c>
      <c r="S74" s="4" t="s">
        <v>24</v>
      </c>
    </row>
    <row r="75" spans="1:19" ht="16" x14ac:dyDescent="0.2">
      <c r="A75" s="3" t="s">
        <v>84</v>
      </c>
      <c r="B75" s="4" t="s">
        <v>24</v>
      </c>
      <c r="C75" s="4" t="s">
        <v>24</v>
      </c>
      <c r="D75" s="4" t="s">
        <v>24</v>
      </c>
      <c r="E75" s="4" t="s">
        <v>24</v>
      </c>
      <c r="F75" s="4" t="s">
        <v>24</v>
      </c>
      <c r="G75" s="4" t="s">
        <v>24</v>
      </c>
      <c r="H75" s="4" t="s">
        <v>24</v>
      </c>
      <c r="I75" s="4" t="s">
        <v>24</v>
      </c>
      <c r="J75" s="4" t="s">
        <v>24</v>
      </c>
      <c r="K75" s="4" t="s">
        <v>24</v>
      </c>
      <c r="L75" s="4" t="s">
        <v>24</v>
      </c>
      <c r="M75" s="4" t="s">
        <v>24</v>
      </c>
      <c r="N75" s="4" t="s">
        <v>24</v>
      </c>
      <c r="O75" s="5" t="s">
        <v>24</v>
      </c>
      <c r="P75" s="4" t="s">
        <v>24</v>
      </c>
      <c r="Q75" s="4" t="s">
        <v>24</v>
      </c>
      <c r="R75" s="4" t="s">
        <v>24</v>
      </c>
      <c r="S75" s="4" t="s">
        <v>24</v>
      </c>
    </row>
    <row r="76" spans="1:19" ht="16" x14ac:dyDescent="0.2">
      <c r="A76" s="3" t="s">
        <v>85</v>
      </c>
      <c r="B76" s="4">
        <v>1817523242</v>
      </c>
      <c r="C76" s="4">
        <v>1787675411</v>
      </c>
      <c r="D76" s="4">
        <v>2113381671</v>
      </c>
      <c r="E76" s="4">
        <v>2326517121</v>
      </c>
      <c r="F76" s="4">
        <v>2391790997</v>
      </c>
      <c r="G76" s="4">
        <v>2272964286</v>
      </c>
      <c r="H76" s="4">
        <v>2305477337</v>
      </c>
      <c r="I76" s="4">
        <v>2758951945</v>
      </c>
      <c r="J76" s="4">
        <v>2841285804</v>
      </c>
      <c r="K76" s="4">
        <v>4254941791</v>
      </c>
      <c r="L76" s="4">
        <v>5384624805</v>
      </c>
      <c r="M76" s="4">
        <v>5688292507</v>
      </c>
      <c r="N76" s="4">
        <v>6008602018</v>
      </c>
      <c r="O76" s="5">
        <v>6259068951</v>
      </c>
      <c r="P76" s="4">
        <v>5688292507</v>
      </c>
      <c r="Q76" s="4">
        <v>5469770961</v>
      </c>
      <c r="R76" s="4">
        <v>6008602018</v>
      </c>
      <c r="S76" s="4">
        <v>6259068951</v>
      </c>
    </row>
    <row r="77" spans="1:19" ht="16" x14ac:dyDescent="0.2">
      <c r="A77" s="3" t="s">
        <v>86</v>
      </c>
      <c r="B77" s="4">
        <v>1038623040</v>
      </c>
      <c r="C77" s="4">
        <v>1128607220</v>
      </c>
      <c r="D77" s="4">
        <v>1328147658</v>
      </c>
      <c r="E77" s="4">
        <v>1412528252</v>
      </c>
      <c r="F77" s="4">
        <v>1429556756</v>
      </c>
      <c r="G77" s="4">
        <v>1398387940</v>
      </c>
      <c r="H77" s="4">
        <v>1407566798</v>
      </c>
      <c r="I77" s="4">
        <v>1541103293</v>
      </c>
      <c r="J77" s="4">
        <v>1538101005</v>
      </c>
      <c r="K77" s="4">
        <v>2801755582</v>
      </c>
      <c r="L77" s="4">
        <v>3783601910</v>
      </c>
      <c r="M77" s="4">
        <v>3864217901</v>
      </c>
      <c r="N77" s="4">
        <v>3829283133</v>
      </c>
      <c r="O77" s="5">
        <v>3973423238</v>
      </c>
      <c r="P77" s="4">
        <v>3864217901</v>
      </c>
      <c r="Q77" s="4">
        <v>3744785853</v>
      </c>
      <c r="R77" s="4">
        <v>3829283133</v>
      </c>
      <c r="S77" s="4">
        <v>3973423238</v>
      </c>
    </row>
    <row r="78" spans="1:19" ht="16" x14ac:dyDescent="0.2">
      <c r="A78" s="3" t="s">
        <v>87</v>
      </c>
      <c r="B78" s="4">
        <v>1864611422</v>
      </c>
      <c r="C78" s="4">
        <v>2027962041</v>
      </c>
      <c r="D78" s="4">
        <v>2308371782</v>
      </c>
      <c r="E78" s="4">
        <v>2535137526</v>
      </c>
      <c r="F78" s="4">
        <v>2526711920</v>
      </c>
      <c r="G78" s="4">
        <v>2531611197</v>
      </c>
      <c r="H78" s="4">
        <v>2588572825</v>
      </c>
      <c r="I78" s="4">
        <v>2981339611</v>
      </c>
      <c r="J78" s="4">
        <v>3088776601</v>
      </c>
      <c r="K78" s="4">
        <v>5356449304</v>
      </c>
      <c r="L78" s="4">
        <v>6785596310</v>
      </c>
      <c r="M78" s="4">
        <v>7123443476</v>
      </c>
      <c r="N78" s="4">
        <v>7344795575</v>
      </c>
      <c r="O78" s="5">
        <v>7724282407</v>
      </c>
      <c r="P78" s="4">
        <v>7123443476</v>
      </c>
      <c r="Q78" s="4">
        <v>5868085704</v>
      </c>
      <c r="R78" s="4">
        <v>7344795575</v>
      </c>
      <c r="S78" s="4">
        <v>7724282407</v>
      </c>
    </row>
    <row r="79" spans="1:19" ht="16" x14ac:dyDescent="0.2">
      <c r="A79" s="3" t="s">
        <v>88</v>
      </c>
      <c r="B79" s="4">
        <v>825988382</v>
      </c>
      <c r="C79" s="4">
        <v>899354821</v>
      </c>
      <c r="D79" s="4">
        <v>980224125</v>
      </c>
      <c r="E79" s="4">
        <v>1122609274</v>
      </c>
      <c r="F79" s="4">
        <v>1097155164</v>
      </c>
      <c r="G79" s="4">
        <v>1133223257</v>
      </c>
      <c r="H79" s="4">
        <v>1181006027</v>
      </c>
      <c r="I79" s="4">
        <v>1440236318</v>
      </c>
      <c r="J79" s="4">
        <v>1550675596</v>
      </c>
      <c r="K79" s="4">
        <v>2554693722</v>
      </c>
      <c r="L79" s="4">
        <v>3001994401</v>
      </c>
      <c r="M79" s="4">
        <v>3259225575</v>
      </c>
      <c r="N79" s="4">
        <v>3515512442</v>
      </c>
      <c r="O79" s="5">
        <v>3750859169</v>
      </c>
      <c r="P79" s="4">
        <v>3259225575</v>
      </c>
      <c r="Q79" s="4">
        <v>2123299851</v>
      </c>
      <c r="R79" s="4">
        <v>3515512442</v>
      </c>
      <c r="S79" s="4">
        <v>3750859169</v>
      </c>
    </row>
    <row r="80" spans="1:19" ht="16" x14ac:dyDescent="0.2">
      <c r="A80" s="3" t="s">
        <v>89</v>
      </c>
      <c r="B80" s="4" t="s">
        <v>24</v>
      </c>
      <c r="C80" s="4" t="s">
        <v>24</v>
      </c>
      <c r="D80" s="4" t="s">
        <v>24</v>
      </c>
      <c r="E80" s="4" t="s">
        <v>24</v>
      </c>
      <c r="F80" s="4" t="s">
        <v>24</v>
      </c>
      <c r="G80" s="4" t="s">
        <v>24</v>
      </c>
      <c r="H80" s="4" t="s">
        <v>24</v>
      </c>
      <c r="I80" s="4" t="s">
        <v>24</v>
      </c>
      <c r="J80" s="4" t="s">
        <v>24</v>
      </c>
      <c r="K80" s="4" t="s">
        <v>24</v>
      </c>
      <c r="L80" s="4" t="s">
        <v>24</v>
      </c>
      <c r="M80" s="4" t="s">
        <v>24</v>
      </c>
      <c r="N80" s="4" t="s">
        <v>24</v>
      </c>
      <c r="O80" s="5" t="s">
        <v>24</v>
      </c>
      <c r="P80" s="4" t="s">
        <v>24</v>
      </c>
      <c r="Q80" s="4" t="s">
        <v>24</v>
      </c>
      <c r="R80" s="4" t="s">
        <v>24</v>
      </c>
      <c r="S80" s="4" t="s">
        <v>24</v>
      </c>
    </row>
    <row r="81" spans="1:19" ht="16" x14ac:dyDescent="0.2">
      <c r="A81" s="3" t="s">
        <v>90</v>
      </c>
      <c r="B81" s="4" t="s">
        <v>24</v>
      </c>
      <c r="C81" s="4" t="s">
        <v>24</v>
      </c>
      <c r="D81" s="4" t="s">
        <v>24</v>
      </c>
      <c r="E81" s="4" t="s">
        <v>24</v>
      </c>
      <c r="F81" s="4" t="s">
        <v>24</v>
      </c>
      <c r="G81" s="4" t="s">
        <v>24</v>
      </c>
      <c r="H81" s="4" t="s">
        <v>24</v>
      </c>
      <c r="I81" s="4" t="s">
        <v>24</v>
      </c>
      <c r="J81" s="4" t="s">
        <v>24</v>
      </c>
      <c r="K81" s="4" t="s">
        <v>24</v>
      </c>
      <c r="L81" s="4" t="s">
        <v>24</v>
      </c>
      <c r="M81" s="4" t="s">
        <v>24</v>
      </c>
      <c r="N81" s="4" t="s">
        <v>24</v>
      </c>
      <c r="O81" s="5" t="s">
        <v>24</v>
      </c>
      <c r="P81" s="4" t="s">
        <v>24</v>
      </c>
      <c r="Q81" s="4" t="s">
        <v>24</v>
      </c>
      <c r="R81" s="4" t="s">
        <v>24</v>
      </c>
      <c r="S81" s="4" t="s">
        <v>24</v>
      </c>
    </row>
    <row r="82" spans="1:19" ht="16" x14ac:dyDescent="0.2">
      <c r="A82" s="3" t="s">
        <v>91</v>
      </c>
      <c r="B82" s="4" t="s">
        <v>24</v>
      </c>
      <c r="C82" s="4" t="s">
        <v>24</v>
      </c>
      <c r="D82" s="4" t="s">
        <v>24</v>
      </c>
      <c r="E82" s="4" t="s">
        <v>24</v>
      </c>
      <c r="F82" s="4" t="s">
        <v>24</v>
      </c>
      <c r="G82" s="4" t="s">
        <v>24</v>
      </c>
      <c r="H82" s="4" t="s">
        <v>24</v>
      </c>
      <c r="I82" s="4" t="s">
        <v>24</v>
      </c>
      <c r="J82" s="4" t="s">
        <v>24</v>
      </c>
      <c r="K82" s="4" t="s">
        <v>24</v>
      </c>
      <c r="L82" s="4" t="s">
        <v>24</v>
      </c>
      <c r="M82" s="4" t="s">
        <v>24</v>
      </c>
      <c r="N82" s="4" t="s">
        <v>24</v>
      </c>
      <c r="O82" s="5" t="s">
        <v>24</v>
      </c>
      <c r="P82" s="4" t="s">
        <v>24</v>
      </c>
      <c r="Q82" s="4" t="s">
        <v>24</v>
      </c>
      <c r="R82" s="4" t="s">
        <v>24</v>
      </c>
      <c r="S82" s="4" t="s">
        <v>24</v>
      </c>
    </row>
    <row r="83" spans="1:19" ht="16" x14ac:dyDescent="0.2">
      <c r="A83" s="3" t="s">
        <v>92</v>
      </c>
      <c r="B83" s="4">
        <v>778900203</v>
      </c>
      <c r="C83" s="4">
        <v>659068191</v>
      </c>
      <c r="D83" s="4">
        <v>785234013</v>
      </c>
      <c r="E83" s="4">
        <v>913988869</v>
      </c>
      <c r="F83" s="4">
        <v>962234241</v>
      </c>
      <c r="G83" s="4">
        <v>874576346</v>
      </c>
      <c r="H83" s="4">
        <v>897910539</v>
      </c>
      <c r="I83" s="4">
        <v>1217848652</v>
      </c>
      <c r="J83" s="4">
        <v>1303184798</v>
      </c>
      <c r="K83" s="4">
        <v>1453186209</v>
      </c>
      <c r="L83" s="4">
        <v>1601022895</v>
      </c>
      <c r="M83" s="4">
        <v>1824074606</v>
      </c>
      <c r="N83" s="4">
        <v>2179318885</v>
      </c>
      <c r="O83" s="5">
        <v>2285645712</v>
      </c>
      <c r="P83" s="4">
        <v>1824074606</v>
      </c>
      <c r="Q83" s="4">
        <v>1724985108</v>
      </c>
      <c r="R83" s="4">
        <v>2179318885</v>
      </c>
      <c r="S83" s="4">
        <v>2285645712</v>
      </c>
    </row>
    <row r="84" spans="1:19" ht="16" x14ac:dyDescent="0.2">
      <c r="A84" s="3" t="s">
        <v>93</v>
      </c>
      <c r="B84" s="4">
        <v>150789498</v>
      </c>
      <c r="C84" s="4">
        <v>175768826</v>
      </c>
      <c r="D84" s="4">
        <v>238628872</v>
      </c>
      <c r="E84" s="4">
        <v>221021882</v>
      </c>
      <c r="F84" s="4">
        <v>187558234</v>
      </c>
      <c r="G84" s="4">
        <v>174133137</v>
      </c>
      <c r="H84" s="4">
        <v>167389173</v>
      </c>
      <c r="I84" s="4">
        <v>198131559</v>
      </c>
      <c r="J84" s="4">
        <v>180388212</v>
      </c>
      <c r="K84" s="4">
        <v>224836395</v>
      </c>
      <c r="L84" s="4">
        <v>322529335</v>
      </c>
      <c r="M84" s="4">
        <v>340023882</v>
      </c>
      <c r="N84" s="4">
        <v>227323664</v>
      </c>
      <c r="O84" s="5">
        <v>236747074</v>
      </c>
      <c r="P84" s="4">
        <v>340023882</v>
      </c>
      <c r="Q84" s="4">
        <v>227907123</v>
      </c>
      <c r="R84" s="4">
        <v>227323664</v>
      </c>
      <c r="S84" s="4">
        <v>236747074</v>
      </c>
    </row>
    <row r="85" spans="1:19" ht="16" x14ac:dyDescent="0.2">
      <c r="A85" s="3" t="s">
        <v>94</v>
      </c>
      <c r="B85" s="4">
        <v>49905421</v>
      </c>
      <c r="C85" s="4">
        <v>50238210</v>
      </c>
      <c r="D85" s="4">
        <v>104548451</v>
      </c>
      <c r="E85" s="4">
        <v>70826214</v>
      </c>
      <c r="F85" s="4">
        <v>45255987</v>
      </c>
      <c r="G85" s="4">
        <v>41170592</v>
      </c>
      <c r="H85" s="4">
        <v>38709405</v>
      </c>
      <c r="I85" s="4">
        <v>39626312</v>
      </c>
      <c r="J85" s="4">
        <v>17947370</v>
      </c>
      <c r="K85" s="4">
        <v>18184471</v>
      </c>
      <c r="L85" s="4">
        <v>51878770</v>
      </c>
      <c r="M85" s="4">
        <v>47762552</v>
      </c>
      <c r="N85" s="4" t="s">
        <v>24</v>
      </c>
      <c r="O85" s="5" t="s">
        <v>24</v>
      </c>
      <c r="P85" s="4">
        <v>47762552</v>
      </c>
      <c r="Q85" s="4">
        <v>14636237</v>
      </c>
      <c r="R85" s="4" t="s">
        <v>24</v>
      </c>
      <c r="S85" s="4" t="s">
        <v>24</v>
      </c>
    </row>
    <row r="86" spans="1:19" ht="16" x14ac:dyDescent="0.2">
      <c r="A86" s="3" t="s">
        <v>95</v>
      </c>
      <c r="B86" s="4">
        <v>100884077</v>
      </c>
      <c r="C86" s="4">
        <v>125530617</v>
      </c>
      <c r="D86" s="4">
        <v>134080422</v>
      </c>
      <c r="E86" s="4">
        <v>150195668</v>
      </c>
      <c r="F86" s="4">
        <v>142302247</v>
      </c>
      <c r="G86" s="4">
        <v>132962545</v>
      </c>
      <c r="H86" s="4">
        <v>128679767</v>
      </c>
      <c r="I86" s="4">
        <v>158505248</v>
      </c>
      <c r="J86" s="4">
        <v>162440842</v>
      </c>
      <c r="K86" s="4">
        <v>206651924</v>
      </c>
      <c r="L86" s="4">
        <v>270650565</v>
      </c>
      <c r="M86" s="4">
        <v>292261330</v>
      </c>
      <c r="N86" s="4">
        <v>227323664</v>
      </c>
      <c r="O86" s="5">
        <v>236747074</v>
      </c>
      <c r="P86" s="4">
        <v>292261330</v>
      </c>
      <c r="Q86" s="4">
        <v>213270886</v>
      </c>
      <c r="R86" s="4">
        <v>227323664</v>
      </c>
      <c r="S86" s="4">
        <v>236747074</v>
      </c>
    </row>
    <row r="87" spans="1:19" ht="16" x14ac:dyDescent="0.2">
      <c r="A87" s="3" t="s">
        <v>96</v>
      </c>
      <c r="B87" s="4" t="s">
        <v>24</v>
      </c>
      <c r="C87" s="4" t="s">
        <v>24</v>
      </c>
      <c r="D87" s="4" t="s">
        <v>24</v>
      </c>
      <c r="E87" s="4" t="s">
        <v>24</v>
      </c>
      <c r="F87" s="4" t="s">
        <v>24</v>
      </c>
      <c r="G87" s="4" t="s">
        <v>24</v>
      </c>
      <c r="H87" s="4" t="s">
        <v>24</v>
      </c>
      <c r="I87" s="4" t="s">
        <v>24</v>
      </c>
      <c r="J87" s="4" t="s">
        <v>24</v>
      </c>
      <c r="K87" s="4" t="s">
        <v>24</v>
      </c>
      <c r="L87" s="4" t="s">
        <v>24</v>
      </c>
      <c r="M87" s="4" t="s">
        <v>24</v>
      </c>
      <c r="N87" s="4" t="s">
        <v>24</v>
      </c>
      <c r="O87" s="5" t="s">
        <v>24</v>
      </c>
      <c r="P87" s="4" t="s">
        <v>24</v>
      </c>
      <c r="Q87" s="4" t="s">
        <v>24</v>
      </c>
      <c r="R87" s="4" t="s">
        <v>24</v>
      </c>
      <c r="S87" s="4" t="s">
        <v>24</v>
      </c>
    </row>
    <row r="88" spans="1:19" ht="16" x14ac:dyDescent="0.2">
      <c r="A88" s="3" t="s">
        <v>97</v>
      </c>
      <c r="B88" s="4" t="s">
        <v>24</v>
      </c>
      <c r="C88" s="4" t="s">
        <v>24</v>
      </c>
      <c r="D88" s="4" t="s">
        <v>24</v>
      </c>
      <c r="E88" s="4" t="s">
        <v>24</v>
      </c>
      <c r="F88" s="4" t="s">
        <v>24</v>
      </c>
      <c r="G88" s="4" t="s">
        <v>24</v>
      </c>
      <c r="H88" s="4" t="s">
        <v>24</v>
      </c>
      <c r="I88" s="4" t="s">
        <v>24</v>
      </c>
      <c r="J88" s="4" t="s">
        <v>24</v>
      </c>
      <c r="K88" s="4" t="s">
        <v>24</v>
      </c>
      <c r="L88" s="4" t="s">
        <v>24</v>
      </c>
      <c r="M88" s="4" t="s">
        <v>24</v>
      </c>
      <c r="N88" s="4" t="s">
        <v>24</v>
      </c>
      <c r="O88" s="5" t="s">
        <v>24</v>
      </c>
      <c r="P88" s="4" t="s">
        <v>24</v>
      </c>
      <c r="Q88" s="4" t="s">
        <v>24</v>
      </c>
      <c r="R88" s="4" t="s">
        <v>24</v>
      </c>
      <c r="S88" s="4" t="s">
        <v>24</v>
      </c>
    </row>
    <row r="89" spans="1:19" ht="16" x14ac:dyDescent="0.2">
      <c r="A89" s="3" t="s">
        <v>98</v>
      </c>
      <c r="B89" s="4">
        <v>628110704</v>
      </c>
      <c r="C89" s="4">
        <v>483299365</v>
      </c>
      <c r="D89" s="4">
        <v>546605141</v>
      </c>
      <c r="E89" s="4">
        <v>692966987</v>
      </c>
      <c r="F89" s="4">
        <v>774676007</v>
      </c>
      <c r="G89" s="4">
        <v>700443209</v>
      </c>
      <c r="H89" s="4">
        <v>730521367</v>
      </c>
      <c r="I89" s="4">
        <v>1019717093</v>
      </c>
      <c r="J89" s="4">
        <v>1122796587</v>
      </c>
      <c r="K89" s="4">
        <v>1228349813</v>
      </c>
      <c r="L89" s="4">
        <v>1278493560</v>
      </c>
      <c r="M89" s="4">
        <v>1484050724</v>
      </c>
      <c r="N89" s="4">
        <v>1951995220</v>
      </c>
      <c r="O89" s="5">
        <v>2048898639</v>
      </c>
      <c r="P89" s="4">
        <v>1484050724</v>
      </c>
      <c r="Q89" s="4">
        <v>1497077985</v>
      </c>
      <c r="R89" s="4">
        <v>1951995220</v>
      </c>
      <c r="S89" s="4">
        <v>2048898639</v>
      </c>
    </row>
    <row r="90" spans="1:19" ht="16" x14ac:dyDescent="0.2">
      <c r="A90" s="3" t="s">
        <v>99</v>
      </c>
      <c r="B90" s="4">
        <v>3915429093</v>
      </c>
      <c r="C90" s="4">
        <v>4216894056</v>
      </c>
      <c r="D90" s="4">
        <v>4490177975</v>
      </c>
      <c r="E90" s="4">
        <v>5425784065</v>
      </c>
      <c r="F90" s="4">
        <v>5769775287</v>
      </c>
      <c r="G90" s="4">
        <v>5635265498</v>
      </c>
      <c r="H90" s="4">
        <v>6327141962</v>
      </c>
      <c r="I90" s="4">
        <v>8127236489</v>
      </c>
      <c r="J90" s="4">
        <v>8537117889</v>
      </c>
      <c r="K90" s="4">
        <v>11091517260</v>
      </c>
      <c r="L90" s="4">
        <v>13520904473</v>
      </c>
      <c r="M90" s="4">
        <v>15746858526</v>
      </c>
      <c r="N90" s="4">
        <v>18633069738</v>
      </c>
      <c r="O90" s="5">
        <v>19916211207</v>
      </c>
      <c r="P90" s="4">
        <v>15746858526</v>
      </c>
      <c r="Q90" s="4">
        <v>15767409333</v>
      </c>
      <c r="R90" s="4">
        <v>18633069738</v>
      </c>
      <c r="S90" s="4">
        <v>19916211207</v>
      </c>
    </row>
    <row r="91" spans="1:19" ht="16" x14ac:dyDescent="0.2">
      <c r="A91" s="3" t="s">
        <v>100</v>
      </c>
      <c r="B91" s="4">
        <v>417085899</v>
      </c>
      <c r="C91" s="4">
        <v>858722884</v>
      </c>
      <c r="D91" s="4">
        <v>1045352668</v>
      </c>
      <c r="E91" s="4">
        <v>1103042499</v>
      </c>
      <c r="F91" s="4">
        <v>1097518180</v>
      </c>
      <c r="G91" s="4">
        <v>1114973496</v>
      </c>
      <c r="H91" s="4">
        <v>1176787018</v>
      </c>
      <c r="I91" s="4">
        <v>747016019</v>
      </c>
      <c r="J91" s="4">
        <v>893481788</v>
      </c>
      <c r="K91" s="4">
        <v>943347512</v>
      </c>
      <c r="L91" s="4">
        <v>816111785</v>
      </c>
      <c r="M91" s="4">
        <v>2331267421</v>
      </c>
      <c r="N91" s="4">
        <v>2680925092</v>
      </c>
      <c r="O91" s="5">
        <v>1468486458</v>
      </c>
      <c r="P91" s="4">
        <v>2331267421</v>
      </c>
      <c r="Q91" s="4">
        <v>1049627302</v>
      </c>
      <c r="R91" s="4">
        <v>2680925092</v>
      </c>
      <c r="S91" s="4">
        <v>1468486458</v>
      </c>
    </row>
    <row r="92" spans="1:19" ht="16" x14ac:dyDescent="0.2">
      <c r="A92" s="3" t="s">
        <v>101</v>
      </c>
      <c r="B92" s="4">
        <v>314726124</v>
      </c>
      <c r="C92" s="4">
        <v>389054042</v>
      </c>
      <c r="D92" s="4">
        <v>398022412</v>
      </c>
      <c r="E92" s="4">
        <v>432398171</v>
      </c>
      <c r="F92" s="4">
        <v>411660071</v>
      </c>
      <c r="G92" s="4">
        <v>437233858</v>
      </c>
      <c r="H92" s="4">
        <v>446160176</v>
      </c>
      <c r="I92" s="4">
        <v>511299503</v>
      </c>
      <c r="J92" s="4">
        <v>476805596</v>
      </c>
      <c r="K92" s="4">
        <v>455173032</v>
      </c>
      <c r="L92" s="4">
        <v>455774573</v>
      </c>
      <c r="M92" s="4">
        <v>511741629</v>
      </c>
      <c r="N92" s="4">
        <v>703315938</v>
      </c>
      <c r="O92" s="5">
        <v>762609238</v>
      </c>
      <c r="P92" s="4">
        <v>511741629</v>
      </c>
      <c r="Q92" s="4">
        <v>560358799</v>
      </c>
      <c r="R92" s="4">
        <v>703315938</v>
      </c>
      <c r="S92" s="4">
        <v>762609238</v>
      </c>
    </row>
    <row r="93" spans="1:19" ht="16" x14ac:dyDescent="0.2">
      <c r="A93" s="3" t="s">
        <v>102</v>
      </c>
      <c r="B93" s="4">
        <v>102359775</v>
      </c>
      <c r="C93" s="4">
        <v>116703231</v>
      </c>
      <c r="D93" s="4">
        <v>163612393</v>
      </c>
      <c r="E93" s="4">
        <v>130628893</v>
      </c>
      <c r="F93" s="4">
        <v>146900449</v>
      </c>
      <c r="G93" s="4">
        <v>124923960</v>
      </c>
      <c r="H93" s="4">
        <v>135324706</v>
      </c>
      <c r="I93" s="4">
        <v>169432503</v>
      </c>
      <c r="J93" s="4">
        <v>359633279</v>
      </c>
      <c r="K93" s="4">
        <v>404211613</v>
      </c>
      <c r="L93" s="4">
        <v>266490475</v>
      </c>
      <c r="M93" s="4">
        <v>394609656</v>
      </c>
      <c r="N93" s="4">
        <v>529354636</v>
      </c>
      <c r="O93" s="5">
        <v>705877220</v>
      </c>
      <c r="P93" s="4">
        <v>394609656</v>
      </c>
      <c r="Q93" s="4">
        <v>489268503</v>
      </c>
      <c r="R93" s="4">
        <v>529354636</v>
      </c>
      <c r="S93" s="4">
        <v>705877220</v>
      </c>
    </row>
    <row r="94" spans="1:19" ht="16" x14ac:dyDescent="0.2">
      <c r="A94" s="3" t="s">
        <v>103</v>
      </c>
      <c r="B94" s="4" t="s">
        <v>24</v>
      </c>
      <c r="C94" s="4" t="s">
        <v>24</v>
      </c>
      <c r="D94" s="4" t="s">
        <v>24</v>
      </c>
      <c r="E94" s="4" t="s">
        <v>24</v>
      </c>
      <c r="F94" s="4" t="s">
        <v>24</v>
      </c>
      <c r="G94" s="4" t="s">
        <v>24</v>
      </c>
      <c r="H94" s="4" t="s">
        <v>24</v>
      </c>
      <c r="I94" s="4" t="s">
        <v>24</v>
      </c>
      <c r="J94" s="4" t="s">
        <v>24</v>
      </c>
      <c r="K94" s="4" t="s">
        <v>24</v>
      </c>
      <c r="L94" s="4" t="s">
        <v>24</v>
      </c>
      <c r="M94" s="4" t="s">
        <v>24</v>
      </c>
      <c r="N94" s="4" t="s">
        <v>24</v>
      </c>
      <c r="O94" s="5" t="s">
        <v>24</v>
      </c>
      <c r="P94" s="4" t="s">
        <v>24</v>
      </c>
      <c r="Q94" s="4" t="s">
        <v>24</v>
      </c>
      <c r="R94" s="4" t="s">
        <v>24</v>
      </c>
      <c r="S94" s="4" t="s">
        <v>24</v>
      </c>
    </row>
    <row r="95" spans="1:19" ht="16" x14ac:dyDescent="0.2">
      <c r="A95" s="3" t="s">
        <v>104</v>
      </c>
      <c r="B95" s="4" t="s">
        <v>24</v>
      </c>
      <c r="C95" s="4">
        <v>352965612</v>
      </c>
      <c r="D95" s="4">
        <v>483717863</v>
      </c>
      <c r="E95" s="4">
        <v>540015435</v>
      </c>
      <c r="F95" s="4">
        <v>538957660</v>
      </c>
      <c r="G95" s="4">
        <v>552815678</v>
      </c>
      <c r="H95" s="4">
        <v>595302136</v>
      </c>
      <c r="I95" s="4">
        <v>66284013</v>
      </c>
      <c r="J95" s="4">
        <v>57042914</v>
      </c>
      <c r="K95" s="4">
        <v>83962868</v>
      </c>
      <c r="L95" s="4">
        <v>93846738</v>
      </c>
      <c r="M95" s="4">
        <v>1424916136</v>
      </c>
      <c r="N95" s="4">
        <v>1448254518</v>
      </c>
      <c r="O95" s="5" t="s">
        <v>24</v>
      </c>
      <c r="P95" s="4">
        <v>1424916136</v>
      </c>
      <c r="Q95" s="4" t="s">
        <v>24</v>
      </c>
      <c r="R95" s="4">
        <v>1448254518</v>
      </c>
      <c r="S95" s="4" t="s">
        <v>24</v>
      </c>
    </row>
    <row r="96" spans="1:19" ht="16" x14ac:dyDescent="0.2">
      <c r="A96" s="3" t="s">
        <v>105</v>
      </c>
      <c r="B96" s="4">
        <v>34880133</v>
      </c>
      <c r="C96" s="4">
        <v>26611971</v>
      </c>
      <c r="D96" s="4">
        <v>19380356</v>
      </c>
      <c r="E96" s="4">
        <v>44094141</v>
      </c>
      <c r="F96" s="4">
        <v>26379158</v>
      </c>
      <c r="G96" s="4">
        <v>32806118</v>
      </c>
      <c r="H96" s="4">
        <v>21305994</v>
      </c>
      <c r="I96" s="4">
        <v>36144000</v>
      </c>
      <c r="J96" s="4">
        <v>25720753</v>
      </c>
      <c r="K96" s="4">
        <v>242571868</v>
      </c>
      <c r="L96" s="4">
        <v>269304654</v>
      </c>
      <c r="M96" s="4">
        <v>283163701</v>
      </c>
      <c r="N96" s="4">
        <v>288156758</v>
      </c>
      <c r="O96" s="5">
        <v>334937104</v>
      </c>
      <c r="P96" s="4">
        <v>283163701</v>
      </c>
      <c r="Q96" s="4">
        <v>298997419</v>
      </c>
      <c r="R96" s="4">
        <v>288156758</v>
      </c>
      <c r="S96" s="4">
        <v>334937104</v>
      </c>
    </row>
    <row r="97" spans="1:19" ht="16" x14ac:dyDescent="0.2">
      <c r="A97" s="3" t="s">
        <v>106</v>
      </c>
      <c r="B97" s="4">
        <v>34880133</v>
      </c>
      <c r="C97" s="4">
        <v>26611971</v>
      </c>
      <c r="D97" s="4">
        <v>19380356</v>
      </c>
      <c r="E97" s="4">
        <v>44094141</v>
      </c>
      <c r="F97" s="4">
        <v>26379158</v>
      </c>
      <c r="G97" s="4">
        <v>32806118</v>
      </c>
      <c r="H97" s="4">
        <v>21305994</v>
      </c>
      <c r="I97" s="4">
        <v>36144000</v>
      </c>
      <c r="J97" s="4">
        <v>25720753</v>
      </c>
      <c r="K97" s="4">
        <v>23011214</v>
      </c>
      <c r="L97" s="4">
        <v>29977120</v>
      </c>
      <c r="M97" s="4">
        <v>1137204</v>
      </c>
      <c r="N97" s="4">
        <v>2134495</v>
      </c>
      <c r="O97" s="5">
        <v>25093008</v>
      </c>
      <c r="P97" s="4">
        <v>1137204</v>
      </c>
      <c r="Q97" s="4">
        <v>14636237</v>
      </c>
      <c r="R97" s="4">
        <v>2134495</v>
      </c>
      <c r="S97" s="4">
        <v>25093008</v>
      </c>
    </row>
    <row r="98" spans="1:19" ht="16" x14ac:dyDescent="0.2">
      <c r="A98" s="3" t="s">
        <v>107</v>
      </c>
      <c r="B98" s="4" t="s">
        <v>24</v>
      </c>
      <c r="C98" s="4" t="s">
        <v>24</v>
      </c>
      <c r="D98" s="4" t="s">
        <v>24</v>
      </c>
      <c r="E98" s="4" t="s">
        <v>24</v>
      </c>
      <c r="F98" s="4" t="s">
        <v>24</v>
      </c>
      <c r="G98" s="4" t="s">
        <v>24</v>
      </c>
      <c r="H98" s="4" t="s">
        <v>24</v>
      </c>
      <c r="I98" s="4">
        <v>192607892</v>
      </c>
      <c r="J98" s="4">
        <v>204965820</v>
      </c>
      <c r="K98" s="4">
        <v>219560654</v>
      </c>
      <c r="L98" s="4">
        <v>239327534</v>
      </c>
      <c r="M98" s="4">
        <v>282026498</v>
      </c>
      <c r="N98" s="4">
        <v>286022263</v>
      </c>
      <c r="O98" s="5">
        <v>309844097</v>
      </c>
      <c r="P98" s="4">
        <v>282026498</v>
      </c>
      <c r="Q98" s="4">
        <v>284361181</v>
      </c>
      <c r="R98" s="4">
        <v>286022263</v>
      </c>
      <c r="S98" s="4">
        <v>309844097</v>
      </c>
    </row>
    <row r="99" spans="1:19" ht="16" x14ac:dyDescent="0.2">
      <c r="A99" s="3" t="s">
        <v>108</v>
      </c>
      <c r="B99" s="4">
        <v>385962088</v>
      </c>
      <c r="C99" s="4">
        <v>121116924</v>
      </c>
      <c r="D99" s="4">
        <v>74225445</v>
      </c>
      <c r="E99" s="4">
        <v>65452241</v>
      </c>
      <c r="F99" s="4">
        <v>139277114</v>
      </c>
      <c r="G99" s="4">
        <v>109281307</v>
      </c>
      <c r="H99" s="4">
        <v>162537312</v>
      </c>
      <c r="I99" s="4">
        <v>846922357</v>
      </c>
      <c r="J99" s="4">
        <v>888566266</v>
      </c>
      <c r="K99" s="4">
        <v>1085568038</v>
      </c>
      <c r="L99" s="4">
        <v>1164213439</v>
      </c>
      <c r="M99" s="4">
        <v>313868199</v>
      </c>
      <c r="N99" s="4">
        <v>236928890</v>
      </c>
      <c r="O99" s="5">
        <v>1463031456</v>
      </c>
      <c r="P99" s="4">
        <v>313868199</v>
      </c>
      <c r="Q99" s="4">
        <v>1508577885</v>
      </c>
      <c r="R99" s="4">
        <v>236928890</v>
      </c>
      <c r="S99" s="4">
        <v>1463031456</v>
      </c>
    </row>
    <row r="100" spans="1:19" ht="16" x14ac:dyDescent="0.2">
      <c r="A100" s="3" t="s">
        <v>109</v>
      </c>
      <c r="B100" s="4" t="s">
        <v>24</v>
      </c>
      <c r="C100" s="4" t="s">
        <v>24</v>
      </c>
      <c r="D100" s="4" t="s">
        <v>24</v>
      </c>
      <c r="E100" s="4" t="s">
        <v>24</v>
      </c>
      <c r="F100" s="4" t="s">
        <v>24</v>
      </c>
      <c r="G100" s="4" t="s">
        <v>24</v>
      </c>
      <c r="H100" s="4" t="s">
        <v>24</v>
      </c>
      <c r="I100" s="4" t="s">
        <v>24</v>
      </c>
      <c r="J100" s="4" t="s">
        <v>24</v>
      </c>
      <c r="K100" s="4" t="s">
        <v>24</v>
      </c>
      <c r="L100" s="4" t="s">
        <v>24</v>
      </c>
      <c r="M100" s="4" t="s">
        <v>24</v>
      </c>
      <c r="N100" s="4" t="s">
        <v>24</v>
      </c>
      <c r="O100" s="5" t="s">
        <v>24</v>
      </c>
      <c r="P100" s="4" t="s">
        <v>24</v>
      </c>
      <c r="Q100" s="4" t="s">
        <v>24</v>
      </c>
      <c r="R100" s="4" t="s">
        <v>24</v>
      </c>
      <c r="S100" s="4" t="s">
        <v>24</v>
      </c>
    </row>
    <row r="101" spans="1:19" ht="16" x14ac:dyDescent="0.2">
      <c r="A101" s="3" t="s">
        <v>110</v>
      </c>
      <c r="B101" s="4" t="s">
        <v>24</v>
      </c>
      <c r="C101" s="4" t="s">
        <v>24</v>
      </c>
      <c r="D101" s="4" t="s">
        <v>24</v>
      </c>
      <c r="E101" s="4" t="s">
        <v>24</v>
      </c>
      <c r="F101" s="4" t="s">
        <v>24</v>
      </c>
      <c r="G101" s="4" t="s">
        <v>24</v>
      </c>
      <c r="H101" s="4" t="s">
        <v>24</v>
      </c>
      <c r="I101" s="4" t="s">
        <v>24</v>
      </c>
      <c r="J101" s="4" t="s">
        <v>24</v>
      </c>
      <c r="K101" s="4" t="s">
        <v>24</v>
      </c>
      <c r="L101" s="4" t="s">
        <v>24</v>
      </c>
      <c r="M101" s="4" t="s">
        <v>24</v>
      </c>
      <c r="N101" s="4" t="s">
        <v>24</v>
      </c>
      <c r="O101" s="5" t="s">
        <v>24</v>
      </c>
      <c r="P101" s="4" t="s">
        <v>24</v>
      </c>
      <c r="Q101" s="4" t="s">
        <v>24</v>
      </c>
      <c r="R101" s="4" t="s">
        <v>24</v>
      </c>
      <c r="S101" s="4" t="s">
        <v>24</v>
      </c>
    </row>
    <row r="102" spans="1:19" ht="16" x14ac:dyDescent="0.2">
      <c r="A102" s="3" t="s">
        <v>111</v>
      </c>
      <c r="B102" s="4" t="s">
        <v>24</v>
      </c>
      <c r="C102" s="4" t="s">
        <v>24</v>
      </c>
      <c r="D102" s="4" t="s">
        <v>24</v>
      </c>
      <c r="E102" s="4" t="s">
        <v>24</v>
      </c>
      <c r="F102" s="4" t="s">
        <v>24</v>
      </c>
      <c r="G102" s="4" t="s">
        <v>24</v>
      </c>
      <c r="H102" s="4" t="s">
        <v>24</v>
      </c>
      <c r="I102" s="4" t="s">
        <v>24</v>
      </c>
      <c r="J102" s="4" t="s">
        <v>24</v>
      </c>
      <c r="K102" s="4" t="s">
        <v>24</v>
      </c>
      <c r="L102" s="4" t="s">
        <v>24</v>
      </c>
      <c r="M102" s="4" t="s">
        <v>24</v>
      </c>
      <c r="N102" s="4" t="s">
        <v>24</v>
      </c>
      <c r="O102" s="5" t="s">
        <v>24</v>
      </c>
      <c r="P102" s="4" t="s">
        <v>24</v>
      </c>
      <c r="Q102" s="4" t="s">
        <v>24</v>
      </c>
      <c r="R102" s="4" t="s">
        <v>24</v>
      </c>
      <c r="S102" s="4" t="s">
        <v>24</v>
      </c>
    </row>
    <row r="103" spans="1:19" ht="16" x14ac:dyDescent="0.2">
      <c r="A103" s="3" t="s">
        <v>112</v>
      </c>
      <c r="B103" s="4">
        <v>385962088</v>
      </c>
      <c r="C103" s="4">
        <v>121116924</v>
      </c>
      <c r="D103" s="4">
        <v>74225445</v>
      </c>
      <c r="E103" s="4">
        <v>65452241</v>
      </c>
      <c r="F103" s="4">
        <v>139277114</v>
      </c>
      <c r="G103" s="4">
        <v>109281307</v>
      </c>
      <c r="H103" s="4">
        <v>162537312</v>
      </c>
      <c r="I103" s="4">
        <v>846922357</v>
      </c>
      <c r="J103" s="4">
        <v>888566266</v>
      </c>
      <c r="K103" s="4">
        <v>1085568038</v>
      </c>
      <c r="L103" s="4">
        <v>1164213439</v>
      </c>
      <c r="M103" s="4">
        <v>313868199</v>
      </c>
      <c r="N103" s="4">
        <v>236928890</v>
      </c>
      <c r="O103" s="5">
        <v>1463031456</v>
      </c>
      <c r="P103" s="4">
        <v>313868199</v>
      </c>
      <c r="Q103" s="4">
        <v>1508577885</v>
      </c>
      <c r="R103" s="4">
        <v>236928890</v>
      </c>
      <c r="S103" s="4">
        <v>1463031456</v>
      </c>
    </row>
    <row r="104" spans="1:19" ht="16" x14ac:dyDescent="0.2">
      <c r="A104" s="3" t="s">
        <v>113</v>
      </c>
      <c r="B104" s="4">
        <v>837928120</v>
      </c>
      <c r="C104" s="4">
        <v>1006451780</v>
      </c>
      <c r="D104" s="4">
        <v>1138958469</v>
      </c>
      <c r="E104" s="4">
        <v>1212588881</v>
      </c>
      <c r="F104" s="4">
        <v>1263174452</v>
      </c>
      <c r="G104" s="4">
        <v>1257060921</v>
      </c>
      <c r="H104" s="4">
        <v>1360630325</v>
      </c>
      <c r="I104" s="4">
        <v>1630082375</v>
      </c>
      <c r="J104" s="4">
        <v>1807768807</v>
      </c>
      <c r="K104" s="4">
        <v>2271487418</v>
      </c>
      <c r="L104" s="4">
        <v>2249629878</v>
      </c>
      <c r="M104" s="4">
        <v>2928299322</v>
      </c>
      <c r="N104" s="4">
        <v>3206010739</v>
      </c>
      <c r="O104" s="5">
        <v>3266455018</v>
      </c>
      <c r="P104" s="4">
        <v>2928299322</v>
      </c>
      <c r="Q104" s="4">
        <v>2857202606</v>
      </c>
      <c r="R104" s="4">
        <v>3206010739</v>
      </c>
      <c r="S104" s="4">
        <v>3266455018</v>
      </c>
    </row>
    <row r="105" spans="1:19" ht="16" x14ac:dyDescent="0.2">
      <c r="A105" s="3" t="s">
        <v>114</v>
      </c>
      <c r="B105" s="4">
        <v>24013630</v>
      </c>
      <c r="C105" s="4">
        <v>23885867</v>
      </c>
      <c r="D105" s="4">
        <v>31245880</v>
      </c>
      <c r="E105" s="4">
        <v>33897371</v>
      </c>
      <c r="F105" s="4">
        <v>23596036</v>
      </c>
      <c r="G105" s="4">
        <v>12383766</v>
      </c>
      <c r="H105" s="4">
        <v>21938846</v>
      </c>
      <c r="I105" s="4">
        <v>28218737</v>
      </c>
      <c r="J105" s="4">
        <v>31436475</v>
      </c>
      <c r="K105" s="4">
        <v>1038984362</v>
      </c>
      <c r="L105" s="4">
        <v>1793610594</v>
      </c>
      <c r="M105" s="4">
        <v>1766077222</v>
      </c>
      <c r="N105" s="4">
        <v>1775899424</v>
      </c>
      <c r="O105" s="5">
        <v>1833971572</v>
      </c>
      <c r="P105" s="4">
        <v>1766077222</v>
      </c>
      <c r="Q105" s="4">
        <v>1807575304</v>
      </c>
      <c r="R105" s="4">
        <v>1775899424</v>
      </c>
      <c r="S105" s="4">
        <v>1833971572</v>
      </c>
    </row>
    <row r="106" spans="1:19" ht="16" x14ac:dyDescent="0.2">
      <c r="A106" s="3" t="s">
        <v>115</v>
      </c>
      <c r="B106" s="4">
        <v>24013630</v>
      </c>
      <c r="C106" s="4">
        <v>23885867</v>
      </c>
      <c r="D106" s="4">
        <v>31245880</v>
      </c>
      <c r="E106" s="4">
        <v>33897371</v>
      </c>
      <c r="F106" s="4">
        <v>23596036</v>
      </c>
      <c r="G106" s="4">
        <v>12383766</v>
      </c>
      <c r="H106" s="4">
        <v>21938846</v>
      </c>
      <c r="I106" s="4">
        <v>28218737</v>
      </c>
      <c r="J106" s="4">
        <v>31436475</v>
      </c>
      <c r="K106" s="4">
        <v>33225948</v>
      </c>
      <c r="L106" s="4">
        <v>22513429</v>
      </c>
      <c r="M106" s="4">
        <v>27292887</v>
      </c>
      <c r="N106" s="4">
        <v>37353654</v>
      </c>
      <c r="O106" s="5">
        <v>38185012</v>
      </c>
      <c r="P106" s="4">
        <v>27292887</v>
      </c>
      <c r="Q106" s="4">
        <v>25090692</v>
      </c>
      <c r="R106" s="4">
        <v>37353654</v>
      </c>
      <c r="S106" s="4">
        <v>38185012</v>
      </c>
    </row>
    <row r="107" spans="1:19" ht="16" x14ac:dyDescent="0.2">
      <c r="A107" s="3" t="s">
        <v>116</v>
      </c>
      <c r="B107" s="4" t="s">
        <v>24</v>
      </c>
      <c r="C107" s="4" t="s">
        <v>24</v>
      </c>
      <c r="D107" s="4" t="s">
        <v>24</v>
      </c>
      <c r="E107" s="4" t="s">
        <v>24</v>
      </c>
      <c r="F107" s="4" t="s">
        <v>24</v>
      </c>
      <c r="G107" s="4" t="s">
        <v>24</v>
      </c>
      <c r="H107" s="4" t="s">
        <v>24</v>
      </c>
      <c r="I107" s="4">
        <v>1016354860</v>
      </c>
      <c r="J107" s="4">
        <v>1070783509</v>
      </c>
      <c r="K107" s="4">
        <v>1005758414</v>
      </c>
      <c r="L107" s="4">
        <v>1771097165</v>
      </c>
      <c r="M107" s="4">
        <v>1738784335</v>
      </c>
      <c r="N107" s="4">
        <v>1738545770</v>
      </c>
      <c r="O107" s="5">
        <v>1795786560</v>
      </c>
      <c r="P107" s="4">
        <v>1738784335</v>
      </c>
      <c r="Q107" s="4">
        <v>1782484612</v>
      </c>
      <c r="R107" s="4">
        <v>1738545770</v>
      </c>
      <c r="S107" s="4">
        <v>1795786560</v>
      </c>
    </row>
    <row r="108" spans="1:19" ht="16" x14ac:dyDescent="0.2">
      <c r="A108" s="3" t="s">
        <v>117</v>
      </c>
      <c r="B108" s="4">
        <v>151460270</v>
      </c>
      <c r="C108" s="4">
        <v>167720328</v>
      </c>
      <c r="D108" s="4">
        <v>211074489</v>
      </c>
      <c r="E108" s="4">
        <v>264289258</v>
      </c>
      <c r="F108" s="4">
        <v>298036083</v>
      </c>
      <c r="G108" s="4">
        <v>293625620</v>
      </c>
      <c r="H108" s="4">
        <v>319800864</v>
      </c>
      <c r="I108" s="4">
        <v>410432527</v>
      </c>
      <c r="J108" s="4">
        <v>401700998</v>
      </c>
      <c r="K108" s="4">
        <v>399609370</v>
      </c>
      <c r="L108" s="4">
        <v>434362345</v>
      </c>
      <c r="M108" s="4">
        <v>347984308</v>
      </c>
      <c r="N108" s="4">
        <v>356460582</v>
      </c>
      <c r="O108" s="5">
        <v>365485114</v>
      </c>
      <c r="P108" s="4">
        <v>347984308</v>
      </c>
      <c r="Q108" s="4">
        <v>362769595</v>
      </c>
      <c r="R108" s="4">
        <v>356460582</v>
      </c>
      <c r="S108" s="4">
        <v>365485114</v>
      </c>
    </row>
    <row r="109" spans="1:19" ht="16" x14ac:dyDescent="0.2">
      <c r="A109" s="3" t="s">
        <v>118</v>
      </c>
      <c r="B109" s="4" t="s">
        <v>24</v>
      </c>
      <c r="C109" s="4" t="s">
        <v>24</v>
      </c>
      <c r="D109" s="4" t="s">
        <v>24</v>
      </c>
      <c r="E109" s="4" t="s">
        <v>24</v>
      </c>
      <c r="F109" s="4" t="s">
        <v>24</v>
      </c>
      <c r="G109" s="4" t="s">
        <v>24</v>
      </c>
      <c r="H109" s="4" t="s">
        <v>24</v>
      </c>
      <c r="I109" s="4" t="s">
        <v>24</v>
      </c>
      <c r="J109" s="4" t="s">
        <v>24</v>
      </c>
      <c r="K109" s="4" t="s">
        <v>24</v>
      </c>
      <c r="L109" s="4" t="s">
        <v>24</v>
      </c>
      <c r="M109" s="4" t="s">
        <v>24</v>
      </c>
      <c r="N109" s="4" t="s">
        <v>24</v>
      </c>
      <c r="O109" s="5" t="s">
        <v>24</v>
      </c>
      <c r="P109" s="4" t="s">
        <v>24</v>
      </c>
      <c r="Q109" s="4" t="s">
        <v>24</v>
      </c>
      <c r="R109" s="4" t="s">
        <v>24</v>
      </c>
      <c r="S109" s="4" t="s">
        <v>24</v>
      </c>
    </row>
    <row r="110" spans="1:19" ht="16" x14ac:dyDescent="0.2">
      <c r="A110" s="3" t="s">
        <v>119</v>
      </c>
      <c r="B110" s="4">
        <v>75528904</v>
      </c>
      <c r="C110" s="4">
        <v>78927213</v>
      </c>
      <c r="D110" s="4">
        <v>87673039</v>
      </c>
      <c r="E110" s="4">
        <v>114644767</v>
      </c>
      <c r="F110" s="4">
        <v>149804576</v>
      </c>
      <c r="G110" s="4">
        <v>168375772</v>
      </c>
      <c r="H110" s="4">
        <v>193441552</v>
      </c>
      <c r="I110" s="4">
        <v>225990058</v>
      </c>
      <c r="J110" s="4">
        <v>224056334</v>
      </c>
      <c r="K110" s="4">
        <v>303074522</v>
      </c>
      <c r="L110" s="4">
        <v>336722584</v>
      </c>
      <c r="M110" s="4">
        <v>250184796</v>
      </c>
      <c r="N110" s="4">
        <v>193171752</v>
      </c>
      <c r="O110" s="5">
        <v>202926063</v>
      </c>
      <c r="P110" s="4">
        <v>250184796</v>
      </c>
      <c r="Q110" s="4">
        <v>234179796</v>
      </c>
      <c r="R110" s="4">
        <v>193171752</v>
      </c>
      <c r="S110" s="4">
        <v>202926063</v>
      </c>
    </row>
    <row r="111" spans="1:19" ht="16" x14ac:dyDescent="0.2">
      <c r="A111" s="3" t="s">
        <v>109</v>
      </c>
      <c r="B111" s="4" t="s">
        <v>24</v>
      </c>
      <c r="C111" s="4" t="s">
        <v>24</v>
      </c>
      <c r="D111" s="4" t="s">
        <v>24</v>
      </c>
      <c r="E111" s="4" t="s">
        <v>24</v>
      </c>
      <c r="F111" s="4" t="s">
        <v>24</v>
      </c>
      <c r="G111" s="4" t="s">
        <v>24</v>
      </c>
      <c r="H111" s="4" t="s">
        <v>24</v>
      </c>
      <c r="I111" s="4" t="s">
        <v>24</v>
      </c>
      <c r="J111" s="4" t="s">
        <v>24</v>
      </c>
      <c r="K111" s="4" t="s">
        <v>24</v>
      </c>
      <c r="L111" s="4" t="s">
        <v>24</v>
      </c>
      <c r="M111" s="4" t="s">
        <v>24</v>
      </c>
      <c r="N111" s="4" t="s">
        <v>24</v>
      </c>
      <c r="O111" s="5" t="s">
        <v>24</v>
      </c>
      <c r="P111" s="4" t="s">
        <v>24</v>
      </c>
      <c r="Q111" s="4" t="s">
        <v>24</v>
      </c>
      <c r="R111" s="4" t="s">
        <v>24</v>
      </c>
      <c r="S111" s="4" t="s">
        <v>24</v>
      </c>
    </row>
    <row r="112" spans="1:19" ht="16" x14ac:dyDescent="0.2">
      <c r="A112" s="3" t="s">
        <v>111</v>
      </c>
      <c r="B112" s="4" t="s">
        <v>24</v>
      </c>
      <c r="C112" s="4" t="s">
        <v>24</v>
      </c>
      <c r="D112" s="4" t="s">
        <v>24</v>
      </c>
      <c r="E112" s="4" t="s">
        <v>24</v>
      </c>
      <c r="F112" s="4" t="s">
        <v>24</v>
      </c>
      <c r="G112" s="4" t="s">
        <v>24</v>
      </c>
      <c r="H112" s="4" t="s">
        <v>24</v>
      </c>
      <c r="I112" s="4" t="s">
        <v>24</v>
      </c>
      <c r="J112" s="4" t="s">
        <v>24</v>
      </c>
      <c r="K112" s="4" t="s">
        <v>24</v>
      </c>
      <c r="L112" s="4" t="s">
        <v>24</v>
      </c>
      <c r="M112" s="4" t="s">
        <v>24</v>
      </c>
      <c r="N112" s="4" t="s">
        <v>24</v>
      </c>
      <c r="O112" s="5" t="s">
        <v>24</v>
      </c>
      <c r="P112" s="4" t="s">
        <v>24</v>
      </c>
      <c r="Q112" s="4" t="s">
        <v>24</v>
      </c>
      <c r="R112" s="4" t="s">
        <v>24</v>
      </c>
      <c r="S112" s="4" t="s">
        <v>24</v>
      </c>
    </row>
    <row r="113" spans="1:19" ht="16" x14ac:dyDescent="0.2">
      <c r="A113" s="3" t="s">
        <v>110</v>
      </c>
      <c r="B113" s="4" t="s">
        <v>24</v>
      </c>
      <c r="C113" s="4" t="s">
        <v>24</v>
      </c>
      <c r="D113" s="4" t="s">
        <v>24</v>
      </c>
      <c r="E113" s="4" t="s">
        <v>24</v>
      </c>
      <c r="F113" s="4" t="s">
        <v>24</v>
      </c>
      <c r="G113" s="4" t="s">
        <v>24</v>
      </c>
      <c r="H113" s="4" t="s">
        <v>24</v>
      </c>
      <c r="I113" s="4" t="s">
        <v>24</v>
      </c>
      <c r="J113" s="4" t="s">
        <v>24</v>
      </c>
      <c r="K113" s="4" t="s">
        <v>24</v>
      </c>
      <c r="L113" s="4" t="s">
        <v>24</v>
      </c>
      <c r="M113" s="4" t="s">
        <v>24</v>
      </c>
      <c r="N113" s="4" t="s">
        <v>24</v>
      </c>
      <c r="O113" s="5" t="s">
        <v>24</v>
      </c>
      <c r="P113" s="4" t="s">
        <v>24</v>
      </c>
      <c r="Q113" s="4" t="s">
        <v>24</v>
      </c>
      <c r="R113" s="4" t="s">
        <v>24</v>
      </c>
      <c r="S113" s="4" t="s">
        <v>24</v>
      </c>
    </row>
    <row r="114" spans="1:19" ht="16" x14ac:dyDescent="0.2">
      <c r="A114" s="3" t="s">
        <v>120</v>
      </c>
      <c r="B114" s="4">
        <v>75931367</v>
      </c>
      <c r="C114" s="4">
        <v>88793115</v>
      </c>
      <c r="D114" s="4">
        <v>123401450</v>
      </c>
      <c r="E114" s="4">
        <v>149644491</v>
      </c>
      <c r="F114" s="4">
        <v>148231507</v>
      </c>
      <c r="G114" s="4">
        <v>125249848</v>
      </c>
      <c r="H114" s="4">
        <v>126359312</v>
      </c>
      <c r="I114" s="4">
        <v>184442470</v>
      </c>
      <c r="J114" s="4">
        <v>177644665</v>
      </c>
      <c r="K114" s="4">
        <v>96534848</v>
      </c>
      <c r="L114" s="4">
        <v>97639761</v>
      </c>
      <c r="M114" s="4">
        <v>97799511</v>
      </c>
      <c r="N114" s="4">
        <v>163288829</v>
      </c>
      <c r="O114" s="5">
        <v>162559051</v>
      </c>
      <c r="P114" s="4">
        <v>97799511</v>
      </c>
      <c r="Q114" s="4">
        <v>128589799</v>
      </c>
      <c r="R114" s="4">
        <v>163288829</v>
      </c>
      <c r="S114" s="4">
        <v>162559051</v>
      </c>
    </row>
    <row r="115" spans="1:19" ht="16" x14ac:dyDescent="0.2">
      <c r="A115" s="3" t="s">
        <v>121</v>
      </c>
      <c r="B115" s="4">
        <v>175473900</v>
      </c>
      <c r="C115" s="4">
        <v>191606195</v>
      </c>
      <c r="D115" s="4">
        <v>242320369</v>
      </c>
      <c r="E115" s="4">
        <v>298186629</v>
      </c>
      <c r="F115" s="4">
        <v>321632119</v>
      </c>
      <c r="G115" s="4">
        <v>306009386</v>
      </c>
      <c r="H115" s="4">
        <v>341739710</v>
      </c>
      <c r="I115" s="4">
        <v>438651265</v>
      </c>
      <c r="J115" s="4">
        <v>433137474</v>
      </c>
      <c r="K115" s="4">
        <v>1438593732</v>
      </c>
      <c r="L115" s="4">
        <v>2227972938</v>
      </c>
      <c r="M115" s="4">
        <v>2114061530</v>
      </c>
      <c r="N115" s="4">
        <v>2132360006</v>
      </c>
      <c r="O115" s="5">
        <v>2199456685</v>
      </c>
      <c r="P115" s="4">
        <v>2114061530</v>
      </c>
      <c r="Q115" s="4">
        <v>2170344900</v>
      </c>
      <c r="R115" s="4">
        <v>2132360006</v>
      </c>
      <c r="S115" s="4">
        <v>2199456685</v>
      </c>
    </row>
    <row r="116" spans="1:19" ht="16" x14ac:dyDescent="0.2">
      <c r="A116" s="3" t="s">
        <v>122</v>
      </c>
      <c r="B116" s="4">
        <v>1013402020</v>
      </c>
      <c r="C116" s="4">
        <v>1198057974</v>
      </c>
      <c r="D116" s="4">
        <v>1381278837</v>
      </c>
      <c r="E116" s="4">
        <v>1510775510</v>
      </c>
      <c r="F116" s="4">
        <v>1584806571</v>
      </c>
      <c r="G116" s="4">
        <v>1563070307</v>
      </c>
      <c r="H116" s="4">
        <v>1702370035</v>
      </c>
      <c r="I116" s="4">
        <v>2068733640</v>
      </c>
      <c r="J116" s="4">
        <v>2240906281</v>
      </c>
      <c r="K116" s="4">
        <v>3710081150</v>
      </c>
      <c r="L116" s="4">
        <v>4477602816</v>
      </c>
      <c r="M116" s="4">
        <v>5042360851</v>
      </c>
      <c r="N116" s="4">
        <v>5338370745</v>
      </c>
      <c r="O116" s="5">
        <v>5465911703</v>
      </c>
      <c r="P116" s="4">
        <v>5042360851</v>
      </c>
      <c r="Q116" s="4">
        <v>5027547506</v>
      </c>
      <c r="R116" s="4">
        <v>5338370745</v>
      </c>
      <c r="S116" s="4">
        <v>5465911703</v>
      </c>
    </row>
    <row r="117" spans="1:19" ht="16" x14ac:dyDescent="0.2">
      <c r="A117" s="3" t="s">
        <v>123</v>
      </c>
      <c r="B117" s="4" t="s">
        <v>24</v>
      </c>
      <c r="C117" s="4" t="s">
        <v>24</v>
      </c>
      <c r="D117" s="4" t="s">
        <v>24</v>
      </c>
      <c r="E117" s="4" t="s">
        <v>24</v>
      </c>
      <c r="F117" s="4" t="s">
        <v>24</v>
      </c>
      <c r="G117" s="4" t="s">
        <v>24</v>
      </c>
      <c r="H117" s="4" t="s">
        <v>24</v>
      </c>
      <c r="I117" s="4" t="s">
        <v>24</v>
      </c>
      <c r="J117" s="4" t="s">
        <v>24</v>
      </c>
      <c r="K117" s="4" t="s">
        <v>24</v>
      </c>
      <c r="L117" s="4" t="s">
        <v>24</v>
      </c>
      <c r="M117" s="4" t="s">
        <v>24</v>
      </c>
      <c r="N117" s="4" t="s">
        <v>24</v>
      </c>
      <c r="O117" s="5" t="s">
        <v>24</v>
      </c>
      <c r="P117" s="4" t="s">
        <v>24</v>
      </c>
      <c r="Q117" s="4" t="s">
        <v>24</v>
      </c>
      <c r="R117" s="4" t="s">
        <v>24</v>
      </c>
      <c r="S117" s="4" t="s">
        <v>24</v>
      </c>
    </row>
    <row r="118" spans="1:19" ht="16" x14ac:dyDescent="0.2">
      <c r="A118" s="3" t="s">
        <v>124</v>
      </c>
      <c r="B118" s="4">
        <v>138715606</v>
      </c>
      <c r="C118" s="4">
        <v>134228188</v>
      </c>
      <c r="D118" s="4">
        <v>136321687</v>
      </c>
      <c r="E118" s="4">
        <v>142479193</v>
      </c>
      <c r="F118" s="4">
        <v>125119493</v>
      </c>
      <c r="G118" s="4">
        <v>112322934</v>
      </c>
      <c r="H118" s="4">
        <v>109061376</v>
      </c>
      <c r="I118" s="4">
        <v>124162444</v>
      </c>
      <c r="J118" s="4">
        <v>118201148</v>
      </c>
      <c r="K118" s="4">
        <v>116066317</v>
      </c>
      <c r="L118" s="4">
        <v>126515680</v>
      </c>
      <c r="M118" s="4">
        <v>118269176</v>
      </c>
      <c r="N118" s="4">
        <v>110993714</v>
      </c>
      <c r="O118" s="5">
        <v>113464035</v>
      </c>
      <c r="P118" s="4">
        <v>118269176</v>
      </c>
      <c r="Q118" s="4">
        <v>108726334</v>
      </c>
      <c r="R118" s="4">
        <v>110993714</v>
      </c>
      <c r="S118" s="4">
        <v>113464035</v>
      </c>
    </row>
    <row r="119" spans="1:19" ht="16" x14ac:dyDescent="0.2">
      <c r="A119" s="3" t="s">
        <v>125</v>
      </c>
      <c r="B119" s="4">
        <v>72175045</v>
      </c>
      <c r="C119" s="4">
        <v>69840198</v>
      </c>
      <c r="D119" s="4">
        <v>70929466</v>
      </c>
      <c r="E119" s="4">
        <v>74133275</v>
      </c>
      <c r="F119" s="4">
        <v>65100858</v>
      </c>
      <c r="G119" s="4">
        <v>58442687</v>
      </c>
      <c r="H119" s="4">
        <v>56745668</v>
      </c>
      <c r="I119" s="4">
        <v>64602896</v>
      </c>
      <c r="J119" s="4">
        <v>61501177</v>
      </c>
      <c r="K119" s="4">
        <v>60390405</v>
      </c>
      <c r="L119" s="4">
        <v>65827307</v>
      </c>
      <c r="M119" s="4">
        <v>61408995</v>
      </c>
      <c r="N119" s="4">
        <v>57631352</v>
      </c>
      <c r="O119" s="5">
        <v>58914018</v>
      </c>
      <c r="P119" s="4">
        <v>61408995</v>
      </c>
      <c r="Q119" s="4">
        <v>56454058</v>
      </c>
      <c r="R119" s="4">
        <v>57631352</v>
      </c>
      <c r="S119" s="4">
        <v>58914018</v>
      </c>
    </row>
    <row r="120" spans="1:19" ht="16" x14ac:dyDescent="0.2">
      <c r="A120" s="3" t="s">
        <v>126</v>
      </c>
      <c r="B120" s="4">
        <v>66540562</v>
      </c>
      <c r="C120" s="4">
        <v>64387990</v>
      </c>
      <c r="D120" s="4">
        <v>65392221</v>
      </c>
      <c r="E120" s="4">
        <v>68345919</v>
      </c>
      <c r="F120" s="4">
        <v>60018635</v>
      </c>
      <c r="G120" s="4">
        <v>53880247</v>
      </c>
      <c r="H120" s="4">
        <v>52315709</v>
      </c>
      <c r="I120" s="4">
        <v>59559548</v>
      </c>
      <c r="J120" s="4">
        <v>56699970</v>
      </c>
      <c r="K120" s="4">
        <v>55675912</v>
      </c>
      <c r="L120" s="4">
        <v>60688373</v>
      </c>
      <c r="M120" s="4">
        <v>56860181</v>
      </c>
      <c r="N120" s="4">
        <v>53362363</v>
      </c>
      <c r="O120" s="5">
        <v>54550017</v>
      </c>
      <c r="P120" s="4">
        <v>56860181</v>
      </c>
      <c r="Q120" s="4">
        <v>52272276</v>
      </c>
      <c r="R120" s="4">
        <v>53362363</v>
      </c>
      <c r="S120" s="4">
        <v>54550017</v>
      </c>
    </row>
    <row r="121" spans="1:19" ht="16" x14ac:dyDescent="0.2">
      <c r="A121" s="3" t="s">
        <v>127</v>
      </c>
      <c r="B121" s="4">
        <v>44270938</v>
      </c>
      <c r="C121" s="4">
        <v>394765879</v>
      </c>
      <c r="D121" s="4">
        <v>413052076</v>
      </c>
      <c r="E121" s="4">
        <v>432535966</v>
      </c>
      <c r="F121" s="4">
        <v>322963178</v>
      </c>
      <c r="G121" s="4">
        <v>295255063</v>
      </c>
      <c r="H121" s="4">
        <v>303557680</v>
      </c>
      <c r="I121" s="4">
        <v>544681669</v>
      </c>
      <c r="J121" s="4">
        <v>531790849</v>
      </c>
      <c r="K121" s="4">
        <v>571127099</v>
      </c>
      <c r="L121" s="4">
        <v>567362871</v>
      </c>
      <c r="M121" s="4">
        <v>626599195</v>
      </c>
      <c r="N121" s="4">
        <v>719324647</v>
      </c>
      <c r="O121" s="5">
        <v>730970228</v>
      </c>
      <c r="P121" s="4">
        <v>626599195</v>
      </c>
      <c r="Q121" s="4">
        <v>702539389</v>
      </c>
      <c r="R121" s="4">
        <v>719324647</v>
      </c>
      <c r="S121" s="4">
        <v>730970228</v>
      </c>
    </row>
    <row r="122" spans="1:19" ht="16" x14ac:dyDescent="0.2">
      <c r="A122" s="3" t="s">
        <v>128</v>
      </c>
      <c r="B122" s="4">
        <v>565728928</v>
      </c>
      <c r="C122" s="4">
        <v>771487544</v>
      </c>
      <c r="D122" s="4">
        <v>975477915</v>
      </c>
      <c r="E122" s="4">
        <v>1088987491</v>
      </c>
      <c r="F122" s="4">
        <v>1039193619</v>
      </c>
      <c r="G122" s="4">
        <v>1056530809</v>
      </c>
      <c r="H122" s="4">
        <v>1160543835</v>
      </c>
      <c r="I122" s="4">
        <v>1466773939</v>
      </c>
      <c r="J122" s="4">
        <v>1605660849</v>
      </c>
      <c r="K122" s="4">
        <v>1715401795</v>
      </c>
      <c r="L122" s="4">
        <v>1695114344</v>
      </c>
      <c r="M122" s="4">
        <v>2780462851</v>
      </c>
      <c r="N122" s="4">
        <v>3593421491</v>
      </c>
      <c r="O122" s="5">
        <v>2428566757</v>
      </c>
      <c r="P122" s="4">
        <v>2780462851</v>
      </c>
      <c r="Q122" s="4">
        <v>1715576098</v>
      </c>
      <c r="R122" s="4">
        <v>3593421491</v>
      </c>
      <c r="S122" s="4">
        <v>2428566757</v>
      </c>
    </row>
    <row r="123" spans="1:19" ht="16" x14ac:dyDescent="0.2">
      <c r="A123" s="3" t="s">
        <v>129</v>
      </c>
      <c r="B123" s="4" t="s">
        <v>24</v>
      </c>
      <c r="C123" s="4" t="s">
        <v>24</v>
      </c>
      <c r="D123" s="4" t="s">
        <v>24</v>
      </c>
      <c r="E123" s="4" t="s">
        <v>24</v>
      </c>
      <c r="F123" s="4" t="s">
        <v>24</v>
      </c>
      <c r="G123" s="4" t="s">
        <v>24</v>
      </c>
      <c r="H123" s="4" t="s">
        <v>24</v>
      </c>
      <c r="I123" s="4" t="s">
        <v>24</v>
      </c>
      <c r="J123" s="4" t="s">
        <v>24</v>
      </c>
      <c r="K123" s="4" t="s">
        <v>24</v>
      </c>
      <c r="L123" s="4" t="s">
        <v>24</v>
      </c>
      <c r="M123" s="4" t="s">
        <v>24</v>
      </c>
      <c r="N123" s="4" t="s">
        <v>24</v>
      </c>
      <c r="O123" s="5" t="s">
        <v>24</v>
      </c>
      <c r="P123" s="4" t="s">
        <v>24</v>
      </c>
      <c r="Q123" s="4" t="s">
        <v>24</v>
      </c>
      <c r="R123" s="4" t="s">
        <v>24</v>
      </c>
      <c r="S123" s="4" t="s">
        <v>24</v>
      </c>
    </row>
    <row r="124" spans="1:19" ht="16" x14ac:dyDescent="0.2">
      <c r="A124" s="3" t="s">
        <v>130</v>
      </c>
      <c r="B124" s="4">
        <v>2884721160</v>
      </c>
      <c r="C124" s="4">
        <v>3002349640</v>
      </c>
      <c r="D124" s="4">
        <v>3090573495</v>
      </c>
      <c r="E124" s="4">
        <v>3893512661</v>
      </c>
      <c r="F124" s="4">
        <v>4173473211</v>
      </c>
      <c r="G124" s="4">
        <v>4064917013</v>
      </c>
      <c r="H124" s="4">
        <v>4622451473</v>
      </c>
      <c r="I124" s="4">
        <v>6050577586</v>
      </c>
      <c r="J124" s="4">
        <v>6290724514</v>
      </c>
      <c r="K124" s="4">
        <v>7372680624</v>
      </c>
      <c r="L124" s="4">
        <v>9029964898</v>
      </c>
      <c r="M124" s="4">
        <v>10690851232</v>
      </c>
      <c r="N124" s="4">
        <v>13277623037</v>
      </c>
      <c r="O124" s="5">
        <v>14455754505</v>
      </c>
      <c r="P124" s="4">
        <v>10690851232</v>
      </c>
      <c r="Q124" s="4">
        <v>10725225590</v>
      </c>
      <c r="R124" s="4">
        <v>13277623037</v>
      </c>
      <c r="S124" s="4">
        <v>14455754505</v>
      </c>
    </row>
    <row r="125" spans="1:19" ht="16" x14ac:dyDescent="0.2">
      <c r="A125" s="3" t="s">
        <v>131</v>
      </c>
      <c r="B125" s="4">
        <v>17305912</v>
      </c>
      <c r="C125" s="4">
        <v>16486441</v>
      </c>
      <c r="D125" s="4">
        <v>18325643</v>
      </c>
      <c r="E125" s="4">
        <v>21495894</v>
      </c>
      <c r="F125" s="4">
        <v>11495505</v>
      </c>
      <c r="G125" s="4">
        <v>7278179</v>
      </c>
      <c r="H125" s="4">
        <v>2320455</v>
      </c>
      <c r="I125" s="4">
        <v>7925262</v>
      </c>
      <c r="J125" s="4">
        <v>5487094</v>
      </c>
      <c r="K125" s="4">
        <v>8755486</v>
      </c>
      <c r="L125" s="4">
        <v>13336759</v>
      </c>
      <c r="M125" s="4">
        <v>13646443</v>
      </c>
      <c r="N125" s="4">
        <v>17075956</v>
      </c>
      <c r="O125" s="5">
        <v>-5455002</v>
      </c>
      <c r="P125" s="4">
        <v>13646443</v>
      </c>
      <c r="Q125" s="4">
        <v>14636237</v>
      </c>
      <c r="R125" s="4">
        <v>17075956</v>
      </c>
      <c r="S125" s="4">
        <v>-5455002</v>
      </c>
    </row>
    <row r="126" spans="1:19" ht="16" x14ac:dyDescent="0.2">
      <c r="A126" s="3" t="s">
        <v>132</v>
      </c>
      <c r="B126" s="4">
        <v>2902027072</v>
      </c>
      <c r="C126" s="4">
        <v>3018836081</v>
      </c>
      <c r="D126" s="4">
        <v>3108899138</v>
      </c>
      <c r="E126" s="4">
        <v>3915008555</v>
      </c>
      <c r="F126" s="4">
        <v>4184968716</v>
      </c>
      <c r="G126" s="4">
        <v>4072195191</v>
      </c>
      <c r="H126" s="4">
        <v>4624771927</v>
      </c>
      <c r="I126" s="4">
        <v>6058502849</v>
      </c>
      <c r="J126" s="4">
        <v>6296211608</v>
      </c>
      <c r="K126" s="4">
        <v>7381436111</v>
      </c>
      <c r="L126" s="4">
        <v>9043301657</v>
      </c>
      <c r="M126" s="4">
        <v>10704497675</v>
      </c>
      <c r="N126" s="4">
        <v>13294698993</v>
      </c>
      <c r="O126" s="5">
        <v>14450299503</v>
      </c>
      <c r="P126" s="4">
        <v>10704497675</v>
      </c>
      <c r="Q126" s="4">
        <v>10739861827</v>
      </c>
      <c r="R126" s="4">
        <v>13294698993</v>
      </c>
      <c r="S126" s="4">
        <v>14450299503</v>
      </c>
    </row>
    <row r="127" spans="1:19" ht="16" x14ac:dyDescent="0.2">
      <c r="A127" s="3" t="s">
        <v>133</v>
      </c>
      <c r="B127" s="4">
        <v>3915429093</v>
      </c>
      <c r="C127" s="4">
        <v>4216894056</v>
      </c>
      <c r="D127" s="4">
        <v>4490177975</v>
      </c>
      <c r="E127" s="4">
        <v>5425784065</v>
      </c>
      <c r="F127" s="4">
        <v>5769775287</v>
      </c>
      <c r="G127" s="4">
        <v>5635265498</v>
      </c>
      <c r="H127" s="4">
        <v>6327141962</v>
      </c>
      <c r="I127" s="4">
        <v>8127236489</v>
      </c>
      <c r="J127" s="4">
        <v>8537117889</v>
      </c>
      <c r="K127" s="4">
        <v>11091517260</v>
      </c>
      <c r="L127" s="4">
        <v>13520904473</v>
      </c>
      <c r="M127" s="4">
        <v>15746858526</v>
      </c>
      <c r="N127" s="4">
        <v>18633069738</v>
      </c>
      <c r="O127" s="5">
        <v>19916211207</v>
      </c>
      <c r="P127" s="4">
        <v>15746858526</v>
      </c>
      <c r="Q127" s="4">
        <v>15767409333</v>
      </c>
      <c r="R127" s="4">
        <v>18633069738</v>
      </c>
      <c r="S127" s="4">
        <v>19916211207</v>
      </c>
    </row>
    <row r="128" spans="1:19" ht="16" x14ac:dyDescent="0.2">
      <c r="A128" s="35" t="s">
        <v>134</v>
      </c>
      <c r="B128" s="31">
        <v>105163000</v>
      </c>
      <c r="C128" s="31">
        <v>105569000</v>
      </c>
      <c r="D128" s="31">
        <v>104102000</v>
      </c>
      <c r="E128" s="31">
        <v>104118000</v>
      </c>
      <c r="F128" s="31">
        <v>104402000</v>
      </c>
      <c r="G128" s="31">
        <v>104389000</v>
      </c>
      <c r="H128" s="31">
        <v>104490000</v>
      </c>
      <c r="I128" s="31">
        <v>104154000</v>
      </c>
      <c r="J128" s="31">
        <v>104252000</v>
      </c>
      <c r="K128" s="31">
        <v>104208000</v>
      </c>
      <c r="L128" s="31">
        <v>104603000</v>
      </c>
      <c r="M128" s="31">
        <v>104644000</v>
      </c>
      <c r="N128" s="31">
        <v>104536000</v>
      </c>
      <c r="O128" s="32">
        <v>104539000</v>
      </c>
      <c r="P128" s="31">
        <v>104644000</v>
      </c>
      <c r="Q128" s="31">
        <v>104536000</v>
      </c>
      <c r="R128" s="31">
        <v>104536000</v>
      </c>
      <c r="S128" s="31">
        <v>104539000</v>
      </c>
    </row>
    <row r="129" spans="1:19" ht="16" x14ac:dyDescent="0.2">
      <c r="A129" s="12" t="s">
        <v>197</v>
      </c>
      <c r="B129" s="9"/>
      <c r="C129" s="18">
        <f>(C128/B128)-1</f>
        <v>3.8606734307693458E-3</v>
      </c>
      <c r="D129" s="18">
        <f>(D128/C128)-1</f>
        <v>-1.3896124809366417E-2</v>
      </c>
      <c r="E129" s="18">
        <f>(E128/D128)-1</f>
        <v>1.5369541411303089E-4</v>
      </c>
      <c r="F129" s="18">
        <f t="shared" ref="F129:N129" si="6">(F128/E128)-1</f>
        <v>2.7276743694653049E-3</v>
      </c>
      <c r="G129" s="18">
        <f t="shared" si="6"/>
        <v>-1.2451868738150296E-4</v>
      </c>
      <c r="H129" s="18">
        <f t="shared" si="6"/>
        <v>9.67534893523192E-4</v>
      </c>
      <c r="I129" s="18">
        <f t="shared" si="6"/>
        <v>-3.2156187194947172E-3</v>
      </c>
      <c r="J129" s="18">
        <f t="shared" si="6"/>
        <v>9.4091441519283947E-4</v>
      </c>
      <c r="K129" s="18">
        <f t="shared" si="6"/>
        <v>-4.2205425315577916E-4</v>
      </c>
      <c r="L129" s="18">
        <f t="shared" si="6"/>
        <v>3.7904959312144992E-3</v>
      </c>
      <c r="M129" s="18">
        <f t="shared" si="6"/>
        <v>3.9195816563575292E-4</v>
      </c>
      <c r="N129" s="18">
        <f t="shared" si="6"/>
        <v>-1.0320706395015034E-3</v>
      </c>
      <c r="O129" s="18">
        <f>(O128/N128)-1</f>
        <v>2.8698247493741391E-5</v>
      </c>
      <c r="P129" s="18">
        <f>(P128/O128)-1</f>
        <v>1.0044098374768495E-3</v>
      </c>
      <c r="Q129" s="18">
        <f>(Q128/P128)-1</f>
        <v>-1.0320706395015034E-3</v>
      </c>
      <c r="R129" s="18">
        <f>(R128/Q128)-1</f>
        <v>0</v>
      </c>
      <c r="S129" s="18">
        <f>(S128/R128)-1</f>
        <v>2.8698247493741391E-5</v>
      </c>
    </row>
    <row r="130" spans="1:19" ht="16" x14ac:dyDescent="0.2">
      <c r="A130" s="3" t="s">
        <v>135</v>
      </c>
      <c r="B130" s="4" t="s">
        <v>24</v>
      </c>
      <c r="C130" s="4" t="s">
        <v>24</v>
      </c>
      <c r="D130" s="4" t="s">
        <v>24</v>
      </c>
      <c r="E130" s="4" t="s">
        <v>24</v>
      </c>
      <c r="F130" s="4" t="s">
        <v>24</v>
      </c>
      <c r="G130" s="4" t="s">
        <v>24</v>
      </c>
      <c r="H130" s="4" t="s">
        <v>24</v>
      </c>
      <c r="I130" s="4">
        <v>1208962752</v>
      </c>
      <c r="J130" s="4">
        <v>1275749329</v>
      </c>
      <c r="K130" s="4">
        <v>1225319068</v>
      </c>
      <c r="L130" s="4">
        <v>2010424699</v>
      </c>
      <c r="M130" s="4">
        <v>2020810833</v>
      </c>
      <c r="N130" s="4">
        <v>2024568033</v>
      </c>
      <c r="O130" s="5">
        <v>2105630656</v>
      </c>
      <c r="P130" s="4">
        <v>2020810833</v>
      </c>
      <c r="Q130" s="4">
        <v>2066845793</v>
      </c>
      <c r="R130" s="4">
        <v>2024568033</v>
      </c>
      <c r="S130" s="4">
        <v>2105630656</v>
      </c>
    </row>
    <row r="131" spans="1:19" ht="16" x14ac:dyDescent="0.2">
      <c r="A131" s="3" t="s">
        <v>136</v>
      </c>
      <c r="B131" s="4">
        <v>-1073100710</v>
      </c>
      <c r="C131" s="4">
        <v>-1310217698</v>
      </c>
      <c r="D131" s="4">
        <v>-868292681</v>
      </c>
      <c r="E131" s="4">
        <v>-1373945878</v>
      </c>
      <c r="F131" s="4">
        <v>-1694437384</v>
      </c>
      <c r="G131" s="4">
        <v>-1681150606</v>
      </c>
      <c r="H131" s="4">
        <v>-2413167536</v>
      </c>
      <c r="I131" s="4">
        <v>-3456254955</v>
      </c>
      <c r="J131" s="4">
        <v>-3919957011</v>
      </c>
      <c r="K131" s="4">
        <v>-4865019579</v>
      </c>
      <c r="L131" s="4">
        <v>-5738232460</v>
      </c>
      <c r="M131" s="4">
        <v>-7586285349</v>
      </c>
      <c r="N131" s="4">
        <v>-9805867733</v>
      </c>
      <c r="O131" s="5">
        <v>-10136484159</v>
      </c>
      <c r="P131" s="4">
        <v>-7586285349</v>
      </c>
      <c r="Q131" s="4">
        <v>-7584707248</v>
      </c>
      <c r="R131" s="4">
        <v>-9805867733</v>
      </c>
      <c r="S131" s="4">
        <v>-10136484159</v>
      </c>
    </row>
    <row r="132" spans="1:19" ht="16" x14ac:dyDescent="0.2">
      <c r="A132" s="3" t="s">
        <v>137</v>
      </c>
      <c r="B132" s="6">
        <v>-36.979999999999997</v>
      </c>
      <c r="C132" s="6">
        <v>-43.4</v>
      </c>
      <c r="D132" s="6">
        <v>-27.93</v>
      </c>
      <c r="E132" s="6">
        <v>-35.090000000000003</v>
      </c>
      <c r="F132" s="6">
        <v>-40.49</v>
      </c>
      <c r="G132" s="6">
        <v>-41.28</v>
      </c>
      <c r="H132" s="6">
        <v>-52.18</v>
      </c>
      <c r="I132" s="6">
        <v>-57.05</v>
      </c>
      <c r="J132" s="6">
        <v>-62.26</v>
      </c>
      <c r="K132" s="6">
        <v>-65.91</v>
      </c>
      <c r="L132" s="6">
        <v>-63.45</v>
      </c>
      <c r="M132" s="6">
        <v>-70.87</v>
      </c>
      <c r="N132" s="6">
        <v>-73.760000000000005</v>
      </c>
      <c r="O132" s="7">
        <v>-70.150000000000006</v>
      </c>
      <c r="P132" s="6">
        <v>-70.87</v>
      </c>
      <c r="Q132" s="6">
        <v>-70.62</v>
      </c>
      <c r="R132" s="6">
        <v>-73.760000000000005</v>
      </c>
      <c r="S132" s="6">
        <v>-70.150000000000006</v>
      </c>
    </row>
    <row r="133" spans="1:19" ht="16" x14ac:dyDescent="0.2">
      <c r="A133" s="3" t="s">
        <v>138</v>
      </c>
      <c r="B133" s="6">
        <v>73.08</v>
      </c>
      <c r="C133" s="6">
        <v>70.349999999999994</v>
      </c>
      <c r="D133" s="6">
        <v>67.510000000000005</v>
      </c>
      <c r="E133" s="6">
        <v>70.97</v>
      </c>
      <c r="F133" s="6">
        <v>71.61</v>
      </c>
      <c r="G133" s="6">
        <v>71.38</v>
      </c>
      <c r="H133" s="6">
        <v>72.36</v>
      </c>
      <c r="I133" s="6">
        <v>73.91</v>
      </c>
      <c r="J133" s="6">
        <v>73.180000000000007</v>
      </c>
      <c r="K133" s="6">
        <v>65.86</v>
      </c>
      <c r="L133" s="6">
        <v>66.069999999999993</v>
      </c>
      <c r="M133" s="6">
        <v>67.27</v>
      </c>
      <c r="N133" s="4">
        <v>71</v>
      </c>
      <c r="O133" s="7">
        <v>72.23</v>
      </c>
      <c r="P133" s="6">
        <v>67.27</v>
      </c>
      <c r="Q133" s="6">
        <v>67.650000000000006</v>
      </c>
      <c r="R133" s="4">
        <v>71</v>
      </c>
      <c r="S133" s="6">
        <v>72.23</v>
      </c>
    </row>
    <row r="134" spans="1:19" ht="16" x14ac:dyDescent="0.2">
      <c r="A134" s="3" t="s">
        <v>139</v>
      </c>
      <c r="B134" s="6">
        <v>2.5</v>
      </c>
      <c r="C134" s="6">
        <v>2.41</v>
      </c>
      <c r="D134" s="6">
        <v>2.09</v>
      </c>
      <c r="E134" s="6">
        <v>2.56</v>
      </c>
      <c r="F134" s="6">
        <v>2.67</v>
      </c>
      <c r="G134" s="6">
        <v>2.67</v>
      </c>
      <c r="H134" s="6">
        <v>2.96</v>
      </c>
      <c r="I134" s="6">
        <v>3.29</v>
      </c>
      <c r="J134" s="6">
        <v>3.15</v>
      </c>
      <c r="K134" s="6">
        <v>3.01</v>
      </c>
      <c r="L134" s="6">
        <v>3.62</v>
      </c>
      <c r="M134" s="6">
        <v>3.43</v>
      </c>
      <c r="N134" s="6">
        <v>3.94</v>
      </c>
      <c r="O134" s="7">
        <v>4.18</v>
      </c>
      <c r="P134" s="6">
        <v>3.43</v>
      </c>
      <c r="Q134" s="6">
        <v>3.6</v>
      </c>
      <c r="R134" s="6">
        <v>3.94</v>
      </c>
      <c r="S134" s="6">
        <v>4.18</v>
      </c>
    </row>
    <row r="135" spans="1:19" ht="16" x14ac:dyDescent="0.2">
      <c r="A135" s="3" t="s">
        <v>140</v>
      </c>
      <c r="B135" s="6">
        <v>136.83000000000001</v>
      </c>
      <c r="C135" s="6">
        <v>125.63</v>
      </c>
      <c r="D135" s="6">
        <v>143.05000000000001</v>
      </c>
      <c r="E135" s="6">
        <v>170.27</v>
      </c>
      <c r="F135" s="6">
        <v>168.69</v>
      </c>
      <c r="G135" s="6">
        <v>146.93</v>
      </c>
      <c r="H135" s="6">
        <v>132.27000000000001</v>
      </c>
      <c r="I135" s="6">
        <v>123.31</v>
      </c>
      <c r="J135" s="6">
        <v>123.15</v>
      </c>
      <c r="K135" s="6">
        <v>130.46</v>
      </c>
      <c r="L135" s="6">
        <v>170.33</v>
      </c>
      <c r="M135" s="6">
        <v>150.75</v>
      </c>
      <c r="N135" s="6">
        <v>130.66999999999999</v>
      </c>
      <c r="O135" s="7">
        <v>142.03</v>
      </c>
      <c r="P135" s="6">
        <v>78.5</v>
      </c>
      <c r="Q135" s="6">
        <v>79.03</v>
      </c>
      <c r="R135" s="6">
        <v>70.28</v>
      </c>
      <c r="S135" s="6">
        <v>75.52</v>
      </c>
    </row>
    <row r="136" spans="1:19" ht="16" x14ac:dyDescent="0.2">
      <c r="A136" s="3" t="s">
        <v>141</v>
      </c>
      <c r="B136" s="4">
        <v>8366</v>
      </c>
      <c r="C136" s="4">
        <v>9081</v>
      </c>
      <c r="D136" s="4">
        <v>10118</v>
      </c>
      <c r="E136" s="4">
        <v>11037</v>
      </c>
      <c r="F136" s="4">
        <v>11718</v>
      </c>
      <c r="G136" s="4">
        <v>12244</v>
      </c>
      <c r="H136" s="4">
        <v>12834</v>
      </c>
      <c r="I136" s="4">
        <v>13483</v>
      </c>
      <c r="J136" s="4">
        <v>14284</v>
      </c>
      <c r="K136" s="4">
        <v>15417</v>
      </c>
      <c r="L136" s="4">
        <v>16600</v>
      </c>
      <c r="M136" s="4">
        <v>17595</v>
      </c>
      <c r="N136" s="4">
        <v>19686</v>
      </c>
      <c r="O136" s="5">
        <v>19686</v>
      </c>
      <c r="P136" s="4">
        <v>17595</v>
      </c>
      <c r="Q136" s="4">
        <v>17595</v>
      </c>
      <c r="R136" s="4">
        <v>19686</v>
      </c>
      <c r="S136" s="4">
        <v>19686</v>
      </c>
    </row>
    <row r="139" spans="1:19" ht="16" x14ac:dyDescent="0.2">
      <c r="A139" s="3" t="s">
        <v>142</v>
      </c>
      <c r="B139" s="4">
        <v>592559799</v>
      </c>
      <c r="C139" s="4">
        <v>771487544</v>
      </c>
      <c r="D139" s="4">
        <v>975477915</v>
      </c>
      <c r="E139" s="4">
        <v>1088987491</v>
      </c>
      <c r="F139" s="4">
        <v>1039193619</v>
      </c>
      <c r="G139" s="4">
        <v>1056530809</v>
      </c>
      <c r="H139" s="4">
        <v>1160543835</v>
      </c>
      <c r="I139" s="4">
        <v>1466773939</v>
      </c>
      <c r="J139" s="4">
        <v>1605660849</v>
      </c>
      <c r="K139" s="4">
        <v>1715401795</v>
      </c>
      <c r="L139" s="4">
        <v>1695114344</v>
      </c>
      <c r="M139" s="4">
        <v>2780462851</v>
      </c>
      <c r="N139" s="4">
        <v>3593421491</v>
      </c>
      <c r="O139" s="5">
        <v>4311633344</v>
      </c>
      <c r="P139" s="4">
        <v>1445385801</v>
      </c>
      <c r="Q139" s="4">
        <v>1715576098</v>
      </c>
      <c r="R139" s="4">
        <v>1842068754</v>
      </c>
      <c r="S139" s="4">
        <v>2428566757</v>
      </c>
    </row>
    <row r="140" spans="1:19" ht="16" x14ac:dyDescent="0.2">
      <c r="A140" s="3" t="s">
        <v>143</v>
      </c>
      <c r="B140" s="4">
        <v>130263882</v>
      </c>
      <c r="C140" s="4">
        <v>144223904</v>
      </c>
      <c r="D140" s="4">
        <v>154383652</v>
      </c>
      <c r="E140" s="4">
        <v>186435540</v>
      </c>
      <c r="F140" s="4">
        <v>176546750</v>
      </c>
      <c r="G140" s="4">
        <v>194012341</v>
      </c>
      <c r="H140" s="4">
        <v>212848992</v>
      </c>
      <c r="I140" s="4">
        <v>241480343</v>
      </c>
      <c r="J140" s="4">
        <v>463888062</v>
      </c>
      <c r="K140" s="4">
        <v>502542458</v>
      </c>
      <c r="L140" s="4">
        <v>628907733</v>
      </c>
      <c r="M140" s="4">
        <v>640245638</v>
      </c>
      <c r="N140" s="4">
        <v>647819081</v>
      </c>
      <c r="O140" s="5">
        <v>700422218</v>
      </c>
      <c r="P140" s="4">
        <v>335475068</v>
      </c>
      <c r="Q140" s="4">
        <v>300042864</v>
      </c>
      <c r="R140" s="4">
        <v>341519120</v>
      </c>
      <c r="S140" s="4">
        <v>351302109</v>
      </c>
    </row>
    <row r="141" spans="1:19" ht="16" x14ac:dyDescent="0.2">
      <c r="A141" s="3" t="s">
        <v>144</v>
      </c>
      <c r="B141" s="4">
        <v>87871104</v>
      </c>
      <c r="C141" s="4">
        <v>36088430</v>
      </c>
      <c r="D141" s="4">
        <v>87804878</v>
      </c>
      <c r="E141" s="4">
        <v>62282974</v>
      </c>
      <c r="F141" s="4">
        <v>81315570</v>
      </c>
      <c r="G141" s="4">
        <v>35413227</v>
      </c>
      <c r="H141" s="4">
        <v>157474502</v>
      </c>
      <c r="I141" s="4">
        <v>177958164</v>
      </c>
      <c r="J141" s="4">
        <v>-146093875</v>
      </c>
      <c r="K141" s="4">
        <v>98218595</v>
      </c>
      <c r="L141" s="4">
        <v>114157765</v>
      </c>
      <c r="M141" s="4">
        <v>57997385</v>
      </c>
      <c r="N141" s="4">
        <v>146212873</v>
      </c>
      <c r="O141" s="5">
        <v>142921045</v>
      </c>
      <c r="P141" s="4">
        <v>6823222</v>
      </c>
      <c r="Q141" s="4">
        <v>76317523</v>
      </c>
      <c r="R141" s="4">
        <v>68303824</v>
      </c>
      <c r="S141" s="4">
        <v>73097023</v>
      </c>
    </row>
    <row r="142" spans="1:19" ht="16" x14ac:dyDescent="0.2">
      <c r="A142" s="30" t="s">
        <v>145</v>
      </c>
      <c r="B142" s="31">
        <v>12208047</v>
      </c>
      <c r="C142" s="31">
        <v>15188296</v>
      </c>
      <c r="D142" s="31">
        <v>37442320</v>
      </c>
      <c r="E142" s="31">
        <v>58562531</v>
      </c>
      <c r="F142" s="31">
        <v>46587045</v>
      </c>
      <c r="G142" s="31">
        <v>39541149</v>
      </c>
      <c r="H142" s="31">
        <v>56745668</v>
      </c>
      <c r="I142" s="31">
        <v>74449434</v>
      </c>
      <c r="J142" s="31">
        <v>58757630</v>
      </c>
      <c r="K142" s="31">
        <v>98443095</v>
      </c>
      <c r="L142" s="31">
        <v>96660916</v>
      </c>
      <c r="M142" s="31">
        <v>67095014</v>
      </c>
      <c r="N142" s="31">
        <v>58698599</v>
      </c>
      <c r="O142" s="32">
        <v>63278020</v>
      </c>
      <c r="P142" s="31">
        <v>30704498</v>
      </c>
      <c r="Q142" s="31">
        <v>28227029</v>
      </c>
      <c r="R142" s="31">
        <v>29882923</v>
      </c>
      <c r="S142" s="31">
        <v>32730010</v>
      </c>
    </row>
    <row r="143" spans="1:19" ht="16" x14ac:dyDescent="0.2">
      <c r="A143" s="11" t="s">
        <v>198</v>
      </c>
      <c r="B143" s="18">
        <f t="shared" ref="B143:S143" si="7">B142/B2</f>
        <v>3.790403329797886E-3</v>
      </c>
      <c r="C143" s="18">
        <f t="shared" si="7"/>
        <v>4.1179783419990562E-3</v>
      </c>
      <c r="D143" s="18">
        <f t="shared" si="7"/>
        <v>8.1513159124674446E-3</v>
      </c>
      <c r="E143" s="18">
        <f t="shared" si="7"/>
        <v>1.1318845176912711E-2</v>
      </c>
      <c r="F143" s="18">
        <f t="shared" si="7"/>
        <v>9.3478366195012888E-3</v>
      </c>
      <c r="G143" s="18">
        <f t="shared" si="7"/>
        <v>7.5191076380337401E-3</v>
      </c>
      <c r="H143" s="18">
        <f t="shared" si="7"/>
        <v>1.0341778510433186E-2</v>
      </c>
      <c r="I143" s="18">
        <f t="shared" si="7"/>
        <v>1.1172982937056217E-2</v>
      </c>
      <c r="J143" s="18">
        <f t="shared" si="7"/>
        <v>8.6153433008530986E-3</v>
      </c>
      <c r="K143" s="18">
        <f t="shared" si="7"/>
        <v>1.2740796729573333E-2</v>
      </c>
      <c r="L143" s="18">
        <f t="shared" si="7"/>
        <v>1.2364228240980275E-2</v>
      </c>
      <c r="M143" s="18">
        <f t="shared" si="7"/>
        <v>6.5686929824541095E-3</v>
      </c>
      <c r="N143" s="18">
        <f t="shared" si="7"/>
        <v>4.7409706262699818E-3</v>
      </c>
      <c r="O143" s="18">
        <f t="shared" si="7"/>
        <v>4.522417173845817E-3</v>
      </c>
      <c r="P143" s="18">
        <f t="shared" si="7"/>
        <v>5.6890013118899583E-3</v>
      </c>
      <c r="Q143" s="18">
        <f t="shared" si="7"/>
        <v>4.9324077391310625E-3</v>
      </c>
      <c r="R143" s="18">
        <f t="shared" si="7"/>
        <v>4.5699363471404441E-3</v>
      </c>
      <c r="S143" s="18">
        <f t="shared" si="7"/>
        <v>4.4789489128091546E-3</v>
      </c>
    </row>
    <row r="144" spans="1:19" ht="16" x14ac:dyDescent="0.2">
      <c r="A144" s="3" t="s">
        <v>146</v>
      </c>
      <c r="B144" s="4">
        <v>3756322</v>
      </c>
      <c r="C144" s="4">
        <v>11293861</v>
      </c>
      <c r="D144" s="4">
        <v>494264996</v>
      </c>
      <c r="E144" s="4">
        <v>578873396</v>
      </c>
      <c r="F144" s="4">
        <v>558439515</v>
      </c>
      <c r="G144" s="4">
        <v>613322326</v>
      </c>
      <c r="H144" s="4">
        <v>615131477</v>
      </c>
      <c r="I144" s="4">
        <v>797809746</v>
      </c>
      <c r="J144" s="4">
        <v>-30636274</v>
      </c>
      <c r="K144" s="4">
        <v>-32552449</v>
      </c>
      <c r="L144" s="4">
        <v>6607202</v>
      </c>
      <c r="M144" s="4">
        <v>-17058054</v>
      </c>
      <c r="N144" s="4">
        <v>-17075956</v>
      </c>
      <c r="O144" s="5">
        <v>-43640014</v>
      </c>
      <c r="P144" s="4">
        <v>-1137204</v>
      </c>
      <c r="Q144" s="4">
        <v>-1045446</v>
      </c>
      <c r="R144" s="4">
        <v>-16008709</v>
      </c>
      <c r="S144" s="4">
        <v>-27275008</v>
      </c>
    </row>
    <row r="145" spans="1:19" ht="16" x14ac:dyDescent="0.2">
      <c r="A145" s="3" t="s">
        <v>147</v>
      </c>
      <c r="B145" s="4" t="s">
        <v>24</v>
      </c>
      <c r="C145" s="4" t="s">
        <v>24</v>
      </c>
      <c r="D145" s="4" t="s">
        <v>24</v>
      </c>
      <c r="E145" s="4" t="s">
        <v>24</v>
      </c>
      <c r="F145" s="4" t="s">
        <v>24</v>
      </c>
      <c r="G145" s="4" t="s">
        <v>24</v>
      </c>
      <c r="H145" s="4" t="s">
        <v>24</v>
      </c>
      <c r="I145" s="4" t="s">
        <v>24</v>
      </c>
      <c r="J145" s="4" t="s">
        <v>24</v>
      </c>
      <c r="K145" s="4" t="s">
        <v>24</v>
      </c>
      <c r="L145" s="4" t="s">
        <v>24</v>
      </c>
      <c r="M145" s="4" t="s">
        <v>24</v>
      </c>
      <c r="N145" s="4" t="s">
        <v>24</v>
      </c>
      <c r="O145" s="5" t="s">
        <v>24</v>
      </c>
      <c r="P145" s="4" t="s">
        <v>24</v>
      </c>
      <c r="Q145" s="4" t="s">
        <v>24</v>
      </c>
      <c r="R145" s="4" t="s">
        <v>24</v>
      </c>
      <c r="S145" s="4" t="s">
        <v>24</v>
      </c>
    </row>
    <row r="146" spans="1:19" ht="16" x14ac:dyDescent="0.2">
      <c r="A146" s="3" t="s">
        <v>148</v>
      </c>
      <c r="B146" s="4">
        <v>71906736</v>
      </c>
      <c r="C146" s="4">
        <v>9606273</v>
      </c>
      <c r="D146" s="4">
        <v>-443902438</v>
      </c>
      <c r="E146" s="4">
        <v>-575152953</v>
      </c>
      <c r="F146" s="4">
        <v>-523710990</v>
      </c>
      <c r="G146" s="4">
        <v>-617450249</v>
      </c>
      <c r="H146" s="4">
        <v>-514402643</v>
      </c>
      <c r="I146" s="4">
        <v>-694301016</v>
      </c>
      <c r="J146" s="4">
        <v>-174215231</v>
      </c>
      <c r="K146" s="4">
        <v>32327949</v>
      </c>
      <c r="L146" s="4">
        <v>10889648</v>
      </c>
      <c r="M146" s="4">
        <v>7960425</v>
      </c>
      <c r="N146" s="4">
        <v>104590231</v>
      </c>
      <c r="O146" s="5">
        <v>123283038</v>
      </c>
      <c r="P146" s="4">
        <v>-22744072</v>
      </c>
      <c r="Q146" s="4">
        <v>49135939</v>
      </c>
      <c r="R146" s="4">
        <v>54429610</v>
      </c>
      <c r="S146" s="4">
        <v>67642021</v>
      </c>
    </row>
    <row r="147" spans="1:19" ht="16" x14ac:dyDescent="0.2">
      <c r="A147" s="3" t="s">
        <v>149</v>
      </c>
      <c r="B147" s="4">
        <v>79821843</v>
      </c>
      <c r="C147" s="4">
        <v>3504991</v>
      </c>
      <c r="D147" s="4">
        <v>-200922874</v>
      </c>
      <c r="E147" s="4">
        <v>-101829907</v>
      </c>
      <c r="F147" s="4">
        <v>-127176583</v>
      </c>
      <c r="G147" s="4">
        <v>2063961</v>
      </c>
      <c r="H147" s="4">
        <v>23731924</v>
      </c>
      <c r="I147" s="4">
        <v>41787747</v>
      </c>
      <c r="J147" s="4">
        <v>87793502</v>
      </c>
      <c r="K147" s="4">
        <v>26827708</v>
      </c>
      <c r="L147" s="4">
        <v>-428611632</v>
      </c>
      <c r="M147" s="4">
        <v>393472453</v>
      </c>
      <c r="N147" s="4">
        <v>77909049</v>
      </c>
      <c r="O147" s="5">
        <v>-190925059</v>
      </c>
      <c r="P147" s="4">
        <v>319554217</v>
      </c>
      <c r="Q147" s="4">
        <v>-272861281</v>
      </c>
      <c r="R147" s="4">
        <v>356460582</v>
      </c>
      <c r="S147" s="4">
        <v>-555319173</v>
      </c>
    </row>
    <row r="148" spans="1:19" ht="16" x14ac:dyDescent="0.2">
      <c r="A148" s="3" t="s">
        <v>150</v>
      </c>
      <c r="B148" s="4" t="s">
        <v>24</v>
      </c>
      <c r="C148" s="4" t="s">
        <v>24</v>
      </c>
      <c r="D148" s="4">
        <v>-35596572</v>
      </c>
      <c r="E148" s="4">
        <v>-32519429</v>
      </c>
      <c r="F148" s="4">
        <v>-19723866</v>
      </c>
      <c r="G148" s="4">
        <v>-16511689</v>
      </c>
      <c r="H148" s="4">
        <v>-36178000</v>
      </c>
      <c r="I148" s="4">
        <v>19452917</v>
      </c>
      <c r="J148" s="4">
        <v>-14060678</v>
      </c>
      <c r="K148" s="4">
        <v>-15602725</v>
      </c>
      <c r="L148" s="4">
        <v>46984547</v>
      </c>
      <c r="M148" s="4">
        <v>-34116109</v>
      </c>
      <c r="N148" s="4">
        <v>-57631351</v>
      </c>
      <c r="O148" s="5">
        <v>-76370024</v>
      </c>
      <c r="P148" s="4">
        <v>-1137204</v>
      </c>
      <c r="Q148" s="4">
        <v>-101408215</v>
      </c>
      <c r="R148" s="4">
        <v>45891632</v>
      </c>
      <c r="S148" s="4">
        <v>-123283038</v>
      </c>
    </row>
    <row r="149" spans="1:19" ht="16" x14ac:dyDescent="0.2">
      <c r="A149" s="3" t="s">
        <v>151</v>
      </c>
      <c r="B149" s="4" t="s">
        <v>24</v>
      </c>
      <c r="C149" s="4" t="s">
        <v>24</v>
      </c>
      <c r="D149" s="4">
        <v>-229268292</v>
      </c>
      <c r="E149" s="4">
        <v>-136278455</v>
      </c>
      <c r="F149" s="4">
        <v>-90027952</v>
      </c>
      <c r="G149" s="4">
        <v>-6083254</v>
      </c>
      <c r="H149" s="4">
        <v>39869633</v>
      </c>
      <c r="I149" s="4">
        <v>-32061289</v>
      </c>
      <c r="J149" s="4">
        <v>-75790484</v>
      </c>
      <c r="K149" s="4">
        <v>-179150718</v>
      </c>
      <c r="L149" s="4">
        <v>-193199477</v>
      </c>
      <c r="M149" s="4">
        <v>-131915620</v>
      </c>
      <c r="N149" s="4">
        <v>-345788109</v>
      </c>
      <c r="O149" s="5">
        <v>-568411177</v>
      </c>
      <c r="P149" s="4">
        <v>-26155683</v>
      </c>
      <c r="Q149" s="4">
        <v>-147407818</v>
      </c>
      <c r="R149" s="4">
        <v>-195306247</v>
      </c>
      <c r="S149" s="4">
        <v>-368758115</v>
      </c>
    </row>
    <row r="150" spans="1:19" ht="16" x14ac:dyDescent="0.2">
      <c r="A150" s="3" t="s">
        <v>152</v>
      </c>
      <c r="B150" s="4" t="s">
        <v>24</v>
      </c>
      <c r="C150" s="4" t="s">
        <v>24</v>
      </c>
      <c r="D150" s="4" t="s">
        <v>24</v>
      </c>
      <c r="E150" s="4" t="s">
        <v>24</v>
      </c>
      <c r="F150" s="4" t="s">
        <v>24</v>
      </c>
      <c r="G150" s="4" t="s">
        <v>24</v>
      </c>
      <c r="H150" s="4" t="s">
        <v>24</v>
      </c>
      <c r="I150" s="4" t="s">
        <v>24</v>
      </c>
      <c r="J150" s="4" t="s">
        <v>24</v>
      </c>
      <c r="K150" s="4" t="s">
        <v>24</v>
      </c>
      <c r="L150" s="4" t="s">
        <v>24</v>
      </c>
      <c r="M150" s="4" t="s">
        <v>24</v>
      </c>
      <c r="N150" s="4" t="s">
        <v>24</v>
      </c>
      <c r="O150" s="5" t="s">
        <v>24</v>
      </c>
      <c r="P150" s="4" t="s">
        <v>24</v>
      </c>
      <c r="Q150" s="4" t="s">
        <v>24</v>
      </c>
      <c r="R150" s="4" t="s">
        <v>24</v>
      </c>
      <c r="S150" s="4" t="s">
        <v>24</v>
      </c>
    </row>
    <row r="151" spans="1:19" ht="16" x14ac:dyDescent="0.2">
      <c r="A151" s="3" t="s">
        <v>153</v>
      </c>
      <c r="B151" s="4" t="s">
        <v>24</v>
      </c>
      <c r="C151" s="4" t="s">
        <v>24</v>
      </c>
      <c r="D151" s="4" t="s">
        <v>24</v>
      </c>
      <c r="E151" s="4" t="s">
        <v>24</v>
      </c>
      <c r="F151" s="4" t="s">
        <v>24</v>
      </c>
      <c r="G151" s="4" t="s">
        <v>24</v>
      </c>
      <c r="H151" s="4" t="s">
        <v>24</v>
      </c>
      <c r="I151" s="4" t="s">
        <v>24</v>
      </c>
      <c r="J151" s="4" t="s">
        <v>24</v>
      </c>
      <c r="K151" s="4" t="s">
        <v>24</v>
      </c>
      <c r="L151" s="4" t="s">
        <v>24</v>
      </c>
      <c r="M151" s="4" t="s">
        <v>24</v>
      </c>
      <c r="N151" s="4" t="s">
        <v>24</v>
      </c>
      <c r="O151" s="5" t="s">
        <v>24</v>
      </c>
      <c r="P151" s="4" t="s">
        <v>24</v>
      </c>
      <c r="Q151" s="4" t="s">
        <v>24</v>
      </c>
      <c r="R151" s="4" t="s">
        <v>24</v>
      </c>
      <c r="S151" s="4" t="s">
        <v>24</v>
      </c>
    </row>
    <row r="152" spans="1:19" ht="16" x14ac:dyDescent="0.2">
      <c r="A152" s="3" t="s">
        <v>154</v>
      </c>
      <c r="B152" s="4">
        <v>79821843</v>
      </c>
      <c r="C152" s="4">
        <v>3504991</v>
      </c>
      <c r="D152" s="4">
        <v>63941991</v>
      </c>
      <c r="E152" s="4">
        <v>66967977</v>
      </c>
      <c r="F152" s="4">
        <v>-17424765</v>
      </c>
      <c r="G152" s="4">
        <v>24658903</v>
      </c>
      <c r="H152" s="4">
        <v>20040292</v>
      </c>
      <c r="I152" s="4">
        <v>54396119</v>
      </c>
      <c r="J152" s="4">
        <v>177644665</v>
      </c>
      <c r="K152" s="4">
        <v>221581151</v>
      </c>
      <c r="L152" s="4">
        <v>-282396702</v>
      </c>
      <c r="M152" s="4">
        <v>559504181</v>
      </c>
      <c r="N152" s="4">
        <v>481328510</v>
      </c>
      <c r="O152" s="5">
        <v>453856141</v>
      </c>
      <c r="P152" s="4">
        <v>346847104</v>
      </c>
      <c r="Q152" s="4">
        <v>-24045247</v>
      </c>
      <c r="R152" s="4">
        <v>505875197</v>
      </c>
      <c r="S152" s="4">
        <v>-63278020</v>
      </c>
    </row>
    <row r="153" spans="1:19" ht="16" x14ac:dyDescent="0.2">
      <c r="A153" s="3" t="s">
        <v>155</v>
      </c>
      <c r="B153" s="4" t="s">
        <v>24</v>
      </c>
      <c r="C153" s="4" t="s">
        <v>24</v>
      </c>
      <c r="D153" s="4" t="s">
        <v>24</v>
      </c>
      <c r="E153" s="4" t="s">
        <v>24</v>
      </c>
      <c r="F153" s="4" t="s">
        <v>24</v>
      </c>
      <c r="G153" s="4" t="s">
        <v>24</v>
      </c>
      <c r="H153" s="4" t="s">
        <v>24</v>
      </c>
      <c r="I153" s="4" t="s">
        <v>24</v>
      </c>
      <c r="J153" s="4" t="s">
        <v>24</v>
      </c>
      <c r="K153" s="4" t="s">
        <v>24</v>
      </c>
      <c r="L153" s="4" t="s">
        <v>24</v>
      </c>
      <c r="M153" s="4" t="s">
        <v>24</v>
      </c>
      <c r="N153" s="4" t="s">
        <v>24</v>
      </c>
      <c r="O153" s="5" t="s">
        <v>24</v>
      </c>
      <c r="P153" s="4" t="s">
        <v>24</v>
      </c>
      <c r="Q153" s="4" t="s">
        <v>24</v>
      </c>
      <c r="R153" s="4" t="s">
        <v>24</v>
      </c>
      <c r="S153" s="4" t="s">
        <v>24</v>
      </c>
    </row>
    <row r="154" spans="1:19" ht="16" x14ac:dyDescent="0.2">
      <c r="A154" s="3" t="s">
        <v>156</v>
      </c>
      <c r="B154" s="4">
        <v>890516628</v>
      </c>
      <c r="C154" s="4">
        <v>955304869</v>
      </c>
      <c r="D154" s="4">
        <v>1016743571</v>
      </c>
      <c r="E154" s="4">
        <v>1235876099</v>
      </c>
      <c r="F154" s="4">
        <v>1169879356</v>
      </c>
      <c r="G154" s="4">
        <v>1288020337</v>
      </c>
      <c r="H154" s="4">
        <v>1554599253</v>
      </c>
      <c r="I154" s="4">
        <v>1928000193</v>
      </c>
      <c r="J154" s="4">
        <v>2011248539</v>
      </c>
      <c r="K154" s="4">
        <v>2342990555</v>
      </c>
      <c r="L154" s="4">
        <v>2009568210</v>
      </c>
      <c r="M154" s="4">
        <v>3872178326</v>
      </c>
      <c r="N154" s="4">
        <v>4465362494</v>
      </c>
      <c r="O154" s="5">
        <v>4964051547</v>
      </c>
      <c r="P154" s="4">
        <v>2107238308</v>
      </c>
      <c r="Q154" s="4">
        <v>1819075205</v>
      </c>
      <c r="R154" s="4">
        <v>2608352279</v>
      </c>
      <c r="S154" s="4">
        <v>2297646716</v>
      </c>
    </row>
    <row r="155" spans="1:19" ht="16" x14ac:dyDescent="0.2">
      <c r="A155" s="3" t="s">
        <v>157</v>
      </c>
      <c r="B155" s="4" t="s">
        <v>24</v>
      </c>
      <c r="C155" s="4" t="s">
        <v>24</v>
      </c>
      <c r="D155" s="4" t="s">
        <v>24</v>
      </c>
      <c r="E155" s="4" t="s">
        <v>24</v>
      </c>
      <c r="F155" s="4" t="s">
        <v>24</v>
      </c>
      <c r="G155" s="4" t="s">
        <v>24</v>
      </c>
      <c r="H155" s="4" t="s">
        <v>24</v>
      </c>
      <c r="I155" s="4" t="s">
        <v>24</v>
      </c>
      <c r="J155" s="4" t="s">
        <v>24</v>
      </c>
      <c r="K155" s="4" t="s">
        <v>24</v>
      </c>
      <c r="L155" s="4" t="s">
        <v>24</v>
      </c>
      <c r="M155" s="4" t="s">
        <v>24</v>
      </c>
      <c r="N155" s="4" t="s">
        <v>24</v>
      </c>
      <c r="O155" s="5" t="s">
        <v>24</v>
      </c>
      <c r="P155" s="4" t="s">
        <v>24</v>
      </c>
      <c r="Q155" s="4" t="s">
        <v>24</v>
      </c>
      <c r="R155" s="4" t="s">
        <v>24</v>
      </c>
      <c r="S155" s="4" t="s">
        <v>24</v>
      </c>
    </row>
    <row r="156" spans="1:19" ht="16" x14ac:dyDescent="0.2">
      <c r="A156" s="3" t="s">
        <v>158</v>
      </c>
      <c r="B156" s="4">
        <v>3219705</v>
      </c>
      <c r="C156" s="4">
        <v>1038516</v>
      </c>
      <c r="D156" s="4" t="s">
        <v>24</v>
      </c>
      <c r="E156" s="4">
        <v>964559</v>
      </c>
      <c r="F156" s="4">
        <v>1452064</v>
      </c>
      <c r="G156" s="4">
        <v>11297471</v>
      </c>
      <c r="H156" s="4">
        <v>19091015</v>
      </c>
      <c r="I156" s="4">
        <v>4322870</v>
      </c>
      <c r="J156" s="4">
        <v>78991289</v>
      </c>
      <c r="K156" s="4">
        <v>336749</v>
      </c>
      <c r="L156" s="4">
        <v>244711</v>
      </c>
      <c r="M156" s="4">
        <v>3411611</v>
      </c>
      <c r="N156" s="4">
        <v>1067247</v>
      </c>
      <c r="O156" s="5" t="s">
        <v>24</v>
      </c>
      <c r="P156" s="4">
        <v>1137204</v>
      </c>
      <c r="Q156" s="4" t="s">
        <v>24</v>
      </c>
      <c r="R156" s="4" t="s">
        <v>24</v>
      </c>
      <c r="S156" s="4" t="s">
        <v>24</v>
      </c>
    </row>
    <row r="157" spans="1:19" ht="16" x14ac:dyDescent="0.2">
      <c r="A157" s="3" t="s">
        <v>159</v>
      </c>
      <c r="B157" s="4">
        <v>3219705</v>
      </c>
      <c r="C157" s="4">
        <v>1038516</v>
      </c>
      <c r="D157" s="4" t="s">
        <v>24</v>
      </c>
      <c r="E157" s="4">
        <v>964559</v>
      </c>
      <c r="F157" s="4">
        <v>1452064</v>
      </c>
      <c r="G157" s="4">
        <v>11297471</v>
      </c>
      <c r="H157" s="4">
        <v>19091015</v>
      </c>
      <c r="I157" s="4">
        <v>4322870</v>
      </c>
      <c r="J157" s="4">
        <v>78991289</v>
      </c>
      <c r="K157" s="4">
        <v>336749</v>
      </c>
      <c r="L157" s="4">
        <v>244711</v>
      </c>
      <c r="M157" s="4">
        <v>3411611</v>
      </c>
      <c r="N157" s="4">
        <v>1067247</v>
      </c>
      <c r="O157" s="5" t="s">
        <v>24</v>
      </c>
      <c r="P157" s="4">
        <v>1137204</v>
      </c>
      <c r="Q157" s="4" t="s">
        <v>24</v>
      </c>
      <c r="R157" s="4" t="s">
        <v>24</v>
      </c>
      <c r="S157" s="4" t="s">
        <v>24</v>
      </c>
    </row>
    <row r="158" spans="1:19" ht="16" x14ac:dyDescent="0.2">
      <c r="A158" s="3" t="s">
        <v>160</v>
      </c>
      <c r="B158" s="4" t="s">
        <v>24</v>
      </c>
      <c r="C158" s="4" t="s">
        <v>24</v>
      </c>
      <c r="D158" s="4" t="s">
        <v>24</v>
      </c>
      <c r="E158" s="4" t="s">
        <v>24</v>
      </c>
      <c r="F158" s="4" t="s">
        <v>24</v>
      </c>
      <c r="G158" s="4" t="s">
        <v>24</v>
      </c>
      <c r="H158" s="4" t="s">
        <v>24</v>
      </c>
      <c r="I158" s="4" t="s">
        <v>24</v>
      </c>
      <c r="J158" s="4" t="s">
        <v>24</v>
      </c>
      <c r="K158" s="4" t="s">
        <v>24</v>
      </c>
      <c r="L158" s="4" t="s">
        <v>24</v>
      </c>
      <c r="M158" s="4" t="s">
        <v>24</v>
      </c>
      <c r="N158" s="4" t="s">
        <v>24</v>
      </c>
      <c r="O158" s="5" t="s">
        <v>24</v>
      </c>
      <c r="P158" s="4" t="s">
        <v>24</v>
      </c>
      <c r="Q158" s="4" t="s">
        <v>24</v>
      </c>
      <c r="R158" s="4" t="s">
        <v>24</v>
      </c>
      <c r="S158" s="4" t="s">
        <v>24</v>
      </c>
    </row>
    <row r="159" spans="1:19" ht="16" x14ac:dyDescent="0.2">
      <c r="A159" s="3" t="s">
        <v>161</v>
      </c>
      <c r="B159" s="4">
        <v>-185535477</v>
      </c>
      <c r="C159" s="4">
        <v>-240416445</v>
      </c>
      <c r="D159" s="4">
        <v>-346736980</v>
      </c>
      <c r="E159" s="4">
        <v>-291021331</v>
      </c>
      <c r="F159" s="4">
        <v>-337483815</v>
      </c>
      <c r="G159" s="4">
        <v>-274180934</v>
      </c>
      <c r="H159" s="4">
        <v>-276450549</v>
      </c>
      <c r="I159" s="4">
        <v>-318571532</v>
      </c>
      <c r="J159" s="4">
        <v>-357004046</v>
      </c>
      <c r="K159" s="4" t="s">
        <v>24</v>
      </c>
      <c r="L159" s="4" t="s">
        <v>24</v>
      </c>
      <c r="M159" s="4" t="s">
        <v>24</v>
      </c>
      <c r="N159" s="4" t="s">
        <v>24</v>
      </c>
      <c r="O159" s="5">
        <v>-271659085</v>
      </c>
      <c r="P159" s="4" t="s">
        <v>24</v>
      </c>
      <c r="Q159" s="4">
        <v>-198634649</v>
      </c>
      <c r="R159" s="4" t="s">
        <v>24</v>
      </c>
      <c r="S159" s="4">
        <v>-271659085</v>
      </c>
    </row>
    <row r="160" spans="1:19" ht="16" x14ac:dyDescent="0.2">
      <c r="A160" s="3" t="s">
        <v>162</v>
      </c>
      <c r="B160" s="4">
        <v>-153472586</v>
      </c>
      <c r="C160" s="4">
        <v>-213544844</v>
      </c>
      <c r="D160" s="4">
        <v>-316809492</v>
      </c>
      <c r="E160" s="4">
        <v>-255194842</v>
      </c>
      <c r="F160" s="4">
        <v>-296099998</v>
      </c>
      <c r="G160" s="4">
        <v>-231706787</v>
      </c>
      <c r="H160" s="4">
        <v>-226982671</v>
      </c>
      <c r="I160" s="4">
        <v>-259372223</v>
      </c>
      <c r="J160" s="4">
        <v>-285900454</v>
      </c>
      <c r="K160" s="4" t="s">
        <v>24</v>
      </c>
      <c r="L160" s="4" t="s">
        <v>24</v>
      </c>
      <c r="M160" s="4" t="s">
        <v>24</v>
      </c>
      <c r="N160" s="4" t="s">
        <v>24</v>
      </c>
      <c r="O160" s="5">
        <v>-271659085</v>
      </c>
      <c r="P160" s="4" t="s">
        <v>24</v>
      </c>
      <c r="Q160" s="4">
        <v>-198634649</v>
      </c>
      <c r="R160" s="4" t="s">
        <v>24</v>
      </c>
      <c r="S160" s="4">
        <v>-271659085</v>
      </c>
    </row>
    <row r="161" spans="1:19" ht="16" x14ac:dyDescent="0.2">
      <c r="A161" s="3" t="s">
        <v>163</v>
      </c>
      <c r="B161" s="4">
        <v>-32062892</v>
      </c>
      <c r="C161" s="4">
        <v>-26871600</v>
      </c>
      <c r="D161" s="4">
        <v>-29927488</v>
      </c>
      <c r="E161" s="4">
        <v>-35826490</v>
      </c>
      <c r="F161" s="4">
        <v>-41383817</v>
      </c>
      <c r="G161" s="4">
        <v>-42474146</v>
      </c>
      <c r="H161" s="4">
        <v>-49467878</v>
      </c>
      <c r="I161" s="4">
        <v>-59199308</v>
      </c>
      <c r="J161" s="4">
        <v>-71103592</v>
      </c>
      <c r="K161" s="4" t="s">
        <v>24</v>
      </c>
      <c r="L161" s="4" t="s">
        <v>24</v>
      </c>
      <c r="M161" s="4" t="s">
        <v>24</v>
      </c>
      <c r="N161" s="4" t="s">
        <v>24</v>
      </c>
      <c r="O161" s="5" t="s">
        <v>24</v>
      </c>
      <c r="P161" s="4" t="s">
        <v>24</v>
      </c>
      <c r="Q161" s="4" t="s">
        <v>24</v>
      </c>
      <c r="R161" s="4" t="s">
        <v>24</v>
      </c>
      <c r="S161" s="4" t="s">
        <v>24</v>
      </c>
    </row>
    <row r="162" spans="1:19" ht="16" x14ac:dyDescent="0.2">
      <c r="A162" s="3" t="s">
        <v>164</v>
      </c>
      <c r="B162" s="4">
        <v>-49234649</v>
      </c>
      <c r="C162" s="4">
        <v>189529163</v>
      </c>
      <c r="D162" s="4">
        <v>-143441002</v>
      </c>
      <c r="E162" s="4">
        <v>-72066362</v>
      </c>
      <c r="F162" s="4">
        <v>-55178422</v>
      </c>
      <c r="G162" s="4">
        <v>3693404</v>
      </c>
      <c r="H162" s="4">
        <v>-4219009</v>
      </c>
      <c r="I162" s="4">
        <v>-164389154</v>
      </c>
      <c r="J162" s="4">
        <v>-22062690</v>
      </c>
      <c r="K162" s="4">
        <v>-597618058</v>
      </c>
      <c r="L162" s="4">
        <v>-580577275</v>
      </c>
      <c r="M162" s="4">
        <v>-823335421</v>
      </c>
      <c r="N162" s="4">
        <v>-723593635</v>
      </c>
      <c r="O162" s="5">
        <v>-727697227</v>
      </c>
      <c r="P162" s="4">
        <v>-578836643</v>
      </c>
      <c r="Q162" s="4">
        <v>-36590593</v>
      </c>
      <c r="R162" s="4">
        <v>-686239982</v>
      </c>
      <c r="S162" s="4">
        <v>-26184008</v>
      </c>
    </row>
    <row r="163" spans="1:19" ht="16" x14ac:dyDescent="0.2">
      <c r="A163" s="3" t="s">
        <v>165</v>
      </c>
      <c r="B163" s="4">
        <v>34611824</v>
      </c>
      <c r="C163" s="4">
        <v>214972804</v>
      </c>
      <c r="D163" s="4">
        <v>34014502</v>
      </c>
      <c r="E163" s="4">
        <v>26594279</v>
      </c>
      <c r="F163" s="4">
        <v>242011</v>
      </c>
      <c r="G163" s="4">
        <v>19336056</v>
      </c>
      <c r="H163" s="4">
        <v>34068496</v>
      </c>
      <c r="I163" s="4">
        <v>12848531</v>
      </c>
      <c r="J163" s="4">
        <v>78991289</v>
      </c>
      <c r="K163" s="4">
        <v>39287438</v>
      </c>
      <c r="L163" s="4">
        <v>12235559</v>
      </c>
      <c r="M163" s="4">
        <v>6823222</v>
      </c>
      <c r="N163" s="4">
        <v>5336236</v>
      </c>
      <c r="O163" s="5" t="s">
        <v>24</v>
      </c>
      <c r="P163" s="4">
        <v>3411611</v>
      </c>
      <c r="Q163" s="4">
        <v>5227228</v>
      </c>
      <c r="R163" s="4" t="s">
        <v>24</v>
      </c>
      <c r="S163" s="4" t="s">
        <v>24</v>
      </c>
    </row>
    <row r="164" spans="1:19" ht="16" x14ac:dyDescent="0.2">
      <c r="A164" s="3" t="s">
        <v>166</v>
      </c>
      <c r="B164" s="4">
        <v>-83846474</v>
      </c>
      <c r="C164" s="4">
        <v>-25443641</v>
      </c>
      <c r="D164" s="4">
        <v>-177455504</v>
      </c>
      <c r="E164" s="4">
        <v>-98660641</v>
      </c>
      <c r="F164" s="4">
        <v>-55420433</v>
      </c>
      <c r="G164" s="4">
        <v>-15642652</v>
      </c>
      <c r="H164" s="4">
        <v>-38287504</v>
      </c>
      <c r="I164" s="4">
        <v>-177237686</v>
      </c>
      <c r="J164" s="4">
        <v>-101053979</v>
      </c>
      <c r="K164" s="4">
        <v>-636905496</v>
      </c>
      <c r="L164" s="4">
        <v>-592812834</v>
      </c>
      <c r="M164" s="4">
        <v>-830158643</v>
      </c>
      <c r="N164" s="4">
        <v>-728929872</v>
      </c>
      <c r="O164" s="5">
        <v>-727697227</v>
      </c>
      <c r="P164" s="4">
        <v>-582248253</v>
      </c>
      <c r="Q164" s="4">
        <v>-41817821</v>
      </c>
      <c r="R164" s="4">
        <v>-686239982</v>
      </c>
      <c r="S164" s="4">
        <v>-26184008</v>
      </c>
    </row>
    <row r="165" spans="1:19" ht="16" x14ac:dyDescent="0.2">
      <c r="A165" s="3" t="s">
        <v>167</v>
      </c>
      <c r="B165" s="4">
        <v>-20793925</v>
      </c>
      <c r="C165" s="4">
        <v>-37905833</v>
      </c>
      <c r="D165" s="4">
        <v>-2504944</v>
      </c>
      <c r="E165" s="4">
        <v>-69586066</v>
      </c>
      <c r="F165" s="4" t="s">
        <v>24</v>
      </c>
      <c r="G165" s="4" t="s">
        <v>24</v>
      </c>
      <c r="H165" s="4" t="s">
        <v>24</v>
      </c>
      <c r="I165" s="4" t="s">
        <v>24</v>
      </c>
      <c r="J165" s="4" t="s">
        <v>24</v>
      </c>
      <c r="K165" s="4" t="s">
        <v>24</v>
      </c>
      <c r="L165" s="4">
        <v>11990848</v>
      </c>
      <c r="M165" s="4" t="s">
        <v>24</v>
      </c>
      <c r="N165" s="4">
        <v>-1067247</v>
      </c>
      <c r="O165" s="5">
        <v>-79643025</v>
      </c>
      <c r="P165" s="4" t="s">
        <v>24</v>
      </c>
      <c r="Q165" s="4" t="s">
        <v>24</v>
      </c>
      <c r="R165" s="4" t="s">
        <v>24</v>
      </c>
      <c r="S165" s="4">
        <v>-79643025</v>
      </c>
    </row>
    <row r="166" spans="1:19" ht="16" x14ac:dyDescent="0.2">
      <c r="A166" s="3" t="s">
        <v>168</v>
      </c>
      <c r="B166" s="4" t="s">
        <v>24</v>
      </c>
      <c r="C166" s="4" t="s">
        <v>24</v>
      </c>
      <c r="D166" s="4">
        <v>34014502</v>
      </c>
      <c r="E166" s="4" t="s">
        <v>24</v>
      </c>
      <c r="F166" s="4" t="s">
        <v>24</v>
      </c>
      <c r="G166" s="4" t="s">
        <v>24</v>
      </c>
      <c r="H166" s="4" t="s">
        <v>24</v>
      </c>
      <c r="I166" s="4" t="s">
        <v>24</v>
      </c>
      <c r="J166" s="4" t="s">
        <v>24</v>
      </c>
      <c r="K166" s="4" t="s">
        <v>24</v>
      </c>
      <c r="L166" s="4">
        <v>99597450</v>
      </c>
      <c r="M166" s="4" t="s">
        <v>24</v>
      </c>
      <c r="N166" s="4" t="s">
        <v>24</v>
      </c>
      <c r="O166" s="5" t="s">
        <v>24</v>
      </c>
      <c r="P166" s="4" t="s">
        <v>24</v>
      </c>
      <c r="Q166" s="4" t="s">
        <v>24</v>
      </c>
      <c r="R166" s="4" t="s">
        <v>24</v>
      </c>
      <c r="S166" s="4" t="s">
        <v>24</v>
      </c>
    </row>
    <row r="167" spans="1:19" ht="16" x14ac:dyDescent="0.2">
      <c r="A167" s="3" t="s">
        <v>169</v>
      </c>
      <c r="B167" s="4">
        <v>-20793925</v>
      </c>
      <c r="C167" s="4">
        <v>-37905833</v>
      </c>
      <c r="D167" s="4">
        <v>-36519446</v>
      </c>
      <c r="E167" s="4">
        <v>-69586066</v>
      </c>
      <c r="F167" s="4" t="s">
        <v>24</v>
      </c>
      <c r="G167" s="4" t="s">
        <v>24</v>
      </c>
      <c r="H167" s="4" t="s">
        <v>24</v>
      </c>
      <c r="I167" s="4" t="s">
        <v>24</v>
      </c>
      <c r="J167" s="4" t="s">
        <v>24</v>
      </c>
      <c r="K167" s="4" t="s">
        <v>24</v>
      </c>
      <c r="L167" s="4">
        <v>-87606602</v>
      </c>
      <c r="M167" s="4" t="s">
        <v>24</v>
      </c>
      <c r="N167" s="4">
        <v>-1067247</v>
      </c>
      <c r="O167" s="5">
        <v>-79643025</v>
      </c>
      <c r="P167" s="4" t="s">
        <v>24</v>
      </c>
      <c r="Q167" s="4" t="s">
        <v>24</v>
      </c>
      <c r="R167" s="4" t="s">
        <v>24</v>
      </c>
      <c r="S167" s="4">
        <v>-79643025</v>
      </c>
    </row>
    <row r="168" spans="1:19" ht="16" x14ac:dyDescent="0.2">
      <c r="A168" s="3" t="s">
        <v>170</v>
      </c>
      <c r="B168" s="4" t="s">
        <v>24</v>
      </c>
      <c r="C168" s="4" t="s">
        <v>24</v>
      </c>
      <c r="D168" s="4" t="s">
        <v>24</v>
      </c>
      <c r="E168" s="4" t="s">
        <v>24</v>
      </c>
      <c r="F168" s="4" t="s">
        <v>24</v>
      </c>
      <c r="G168" s="4" t="s">
        <v>24</v>
      </c>
      <c r="H168" s="4" t="s">
        <v>24</v>
      </c>
      <c r="I168" s="4" t="s">
        <v>24</v>
      </c>
      <c r="J168" s="4" t="s">
        <v>24</v>
      </c>
      <c r="K168" s="4" t="s">
        <v>24</v>
      </c>
      <c r="L168" s="4" t="s">
        <v>24</v>
      </c>
      <c r="M168" s="4" t="s">
        <v>24</v>
      </c>
      <c r="N168" s="4" t="s">
        <v>24</v>
      </c>
      <c r="O168" s="5" t="s">
        <v>24</v>
      </c>
      <c r="P168" s="4" t="s">
        <v>24</v>
      </c>
      <c r="Q168" s="4" t="s">
        <v>24</v>
      </c>
      <c r="R168" s="4" t="s">
        <v>24</v>
      </c>
      <c r="S168" s="4" t="s">
        <v>24</v>
      </c>
    </row>
    <row r="169" spans="1:19" ht="16" x14ac:dyDescent="0.2">
      <c r="A169" s="3" t="s">
        <v>171</v>
      </c>
      <c r="B169" s="4" t="s">
        <v>24</v>
      </c>
      <c r="C169" s="4" t="s">
        <v>24</v>
      </c>
      <c r="D169" s="4">
        <v>19512195</v>
      </c>
      <c r="E169" s="4">
        <v>72617539</v>
      </c>
      <c r="F169" s="4">
        <v>10285452</v>
      </c>
      <c r="G169" s="4">
        <v>-2932997</v>
      </c>
      <c r="H169" s="4">
        <v>29954962</v>
      </c>
      <c r="I169" s="4">
        <v>62321381</v>
      </c>
      <c r="J169" s="4">
        <v>26520954</v>
      </c>
      <c r="K169" s="4">
        <v>68472392</v>
      </c>
      <c r="L169" s="4">
        <v>39520856</v>
      </c>
      <c r="M169" s="4">
        <v>59134588</v>
      </c>
      <c r="N169" s="4">
        <v>105657478</v>
      </c>
      <c r="O169" s="5">
        <v>309844097</v>
      </c>
      <c r="P169" s="4">
        <v>63683403</v>
      </c>
      <c r="Q169" s="4">
        <v>18818019</v>
      </c>
      <c r="R169" s="4">
        <v>289224005</v>
      </c>
      <c r="S169" s="4">
        <v>14183004</v>
      </c>
    </row>
    <row r="170" spans="1:19" ht="16" x14ac:dyDescent="0.2">
      <c r="A170" s="3" t="s">
        <v>155</v>
      </c>
      <c r="B170" s="4" t="s">
        <v>24</v>
      </c>
      <c r="C170" s="4" t="s">
        <v>24</v>
      </c>
      <c r="D170" s="4" t="s">
        <v>24</v>
      </c>
      <c r="E170" s="4" t="s">
        <v>24</v>
      </c>
      <c r="F170" s="4" t="s">
        <v>24</v>
      </c>
      <c r="G170" s="4" t="s">
        <v>24</v>
      </c>
      <c r="H170" s="4" t="s">
        <v>24</v>
      </c>
      <c r="I170" s="4" t="s">
        <v>24</v>
      </c>
      <c r="J170" s="4" t="s">
        <v>24</v>
      </c>
      <c r="K170" s="4" t="s">
        <v>24</v>
      </c>
      <c r="L170" s="4" t="s">
        <v>24</v>
      </c>
      <c r="M170" s="4" t="s">
        <v>24</v>
      </c>
      <c r="N170" s="4" t="s">
        <v>24</v>
      </c>
      <c r="O170" s="5" t="s">
        <v>24</v>
      </c>
      <c r="P170" s="4" t="s">
        <v>24</v>
      </c>
      <c r="Q170" s="4" t="s">
        <v>24</v>
      </c>
      <c r="R170" s="4" t="s">
        <v>24</v>
      </c>
      <c r="S170" s="4" t="s">
        <v>24</v>
      </c>
    </row>
    <row r="171" spans="1:19" ht="16" x14ac:dyDescent="0.2">
      <c r="A171" s="3" t="s">
        <v>172</v>
      </c>
      <c r="B171" s="4">
        <v>-252344347</v>
      </c>
      <c r="C171" s="4">
        <v>-87754599</v>
      </c>
      <c r="D171" s="4">
        <v>-473170731</v>
      </c>
      <c r="E171" s="4">
        <v>-359091662</v>
      </c>
      <c r="F171" s="4">
        <v>-380924722</v>
      </c>
      <c r="G171" s="4">
        <v>-262123056</v>
      </c>
      <c r="H171" s="4">
        <v>-231623581</v>
      </c>
      <c r="I171" s="4">
        <v>-416316434</v>
      </c>
      <c r="J171" s="4">
        <v>-273554493</v>
      </c>
      <c r="K171" s="4">
        <v>-528808916</v>
      </c>
      <c r="L171" s="4">
        <v>-528820860</v>
      </c>
      <c r="M171" s="4">
        <v>-760789222</v>
      </c>
      <c r="N171" s="4">
        <v>-617936158</v>
      </c>
      <c r="O171" s="5">
        <v>-769155240</v>
      </c>
      <c r="P171" s="4">
        <v>-514016036</v>
      </c>
      <c r="Q171" s="4">
        <v>-216407223</v>
      </c>
      <c r="R171" s="4">
        <v>-397015977</v>
      </c>
      <c r="S171" s="4">
        <v>-363303113</v>
      </c>
    </row>
    <row r="172" spans="1:19" ht="16" x14ac:dyDescent="0.2">
      <c r="A172" s="3" t="s">
        <v>173</v>
      </c>
      <c r="B172" s="4">
        <v>-159777840</v>
      </c>
      <c r="C172" s="4">
        <v>-217179650</v>
      </c>
      <c r="D172" s="4">
        <v>-978642055</v>
      </c>
      <c r="E172" s="4">
        <v>-376591524</v>
      </c>
      <c r="F172" s="4">
        <v>-356844665</v>
      </c>
      <c r="G172" s="4">
        <v>-912705311</v>
      </c>
      <c r="H172" s="4">
        <v>-379816264</v>
      </c>
      <c r="I172" s="4">
        <v>-482600447</v>
      </c>
      <c r="J172" s="4">
        <v>-1095475432</v>
      </c>
      <c r="K172" s="4">
        <v>-546207639</v>
      </c>
      <c r="L172" s="4">
        <v>-599052969</v>
      </c>
      <c r="M172" s="4">
        <v>-557229774</v>
      </c>
      <c r="N172" s="4">
        <v>-909294657</v>
      </c>
      <c r="O172" s="5">
        <v>-1512126471</v>
      </c>
      <c r="P172" s="4">
        <v>-1137204</v>
      </c>
      <c r="Q172" s="4">
        <v>-888628692</v>
      </c>
      <c r="R172" s="4">
        <v>-2134494</v>
      </c>
      <c r="S172" s="4">
        <v>-1509944471</v>
      </c>
    </row>
    <row r="173" spans="1:19" ht="16" x14ac:dyDescent="0.2">
      <c r="A173" s="3" t="s">
        <v>174</v>
      </c>
      <c r="B173" s="4">
        <v>-28574878</v>
      </c>
      <c r="C173" s="4">
        <v>259629</v>
      </c>
      <c r="D173" s="4">
        <v>-14765985</v>
      </c>
      <c r="E173" s="4">
        <v>-13503831</v>
      </c>
      <c r="F173" s="4">
        <v>-1815080</v>
      </c>
      <c r="G173" s="4">
        <v>9233510</v>
      </c>
      <c r="H173" s="4">
        <v>-2320455</v>
      </c>
      <c r="I173" s="4">
        <v>-1320877</v>
      </c>
      <c r="J173" s="4">
        <v>-1829031</v>
      </c>
      <c r="K173" s="4">
        <v>-336749</v>
      </c>
      <c r="L173" s="4">
        <v>367067</v>
      </c>
      <c r="M173" s="4">
        <v>-9097629</v>
      </c>
      <c r="N173" s="4" t="s">
        <v>24</v>
      </c>
      <c r="O173" s="5" t="s">
        <v>24</v>
      </c>
      <c r="P173" s="4" t="s">
        <v>24</v>
      </c>
      <c r="Q173" s="4" t="s">
        <v>24</v>
      </c>
      <c r="R173" s="4" t="s">
        <v>24</v>
      </c>
      <c r="S173" s="4" t="s">
        <v>24</v>
      </c>
    </row>
    <row r="174" spans="1:19" ht="16" x14ac:dyDescent="0.2">
      <c r="A174" s="3" t="s">
        <v>175</v>
      </c>
      <c r="B174" s="4">
        <v>2414778</v>
      </c>
      <c r="C174" s="4">
        <v>51925798</v>
      </c>
      <c r="D174" s="4">
        <v>45220831</v>
      </c>
      <c r="E174" s="4">
        <v>137794</v>
      </c>
      <c r="F174" s="4" t="s">
        <v>24</v>
      </c>
      <c r="G174" s="4">
        <v>11623360</v>
      </c>
      <c r="H174" s="4">
        <v>3797108</v>
      </c>
      <c r="I174" s="4">
        <v>840558</v>
      </c>
      <c r="J174" s="4">
        <v>228629</v>
      </c>
      <c r="K174" s="4" t="s">
        <v>24</v>
      </c>
      <c r="L174" s="4">
        <v>10033158</v>
      </c>
      <c r="M174" s="4" t="s">
        <v>24</v>
      </c>
      <c r="N174" s="4" t="s">
        <v>24</v>
      </c>
      <c r="O174" s="5" t="s">
        <v>24</v>
      </c>
      <c r="P174" s="4" t="s">
        <v>24</v>
      </c>
      <c r="Q174" s="4" t="s">
        <v>24</v>
      </c>
      <c r="R174" s="4" t="s">
        <v>24</v>
      </c>
      <c r="S174" s="4" t="s">
        <v>24</v>
      </c>
    </row>
    <row r="175" spans="1:19" ht="16" x14ac:dyDescent="0.2">
      <c r="A175" s="3" t="s">
        <v>176</v>
      </c>
      <c r="B175" s="4">
        <v>-30989657</v>
      </c>
      <c r="C175" s="4">
        <v>-51666169</v>
      </c>
      <c r="D175" s="4">
        <v>-59986816</v>
      </c>
      <c r="E175" s="4">
        <v>-13641625</v>
      </c>
      <c r="F175" s="4">
        <v>-1815080</v>
      </c>
      <c r="G175" s="4">
        <v>-2389850</v>
      </c>
      <c r="H175" s="4">
        <v>-6117563</v>
      </c>
      <c r="I175" s="4">
        <v>-2161435</v>
      </c>
      <c r="J175" s="4">
        <v>-2057660</v>
      </c>
      <c r="K175" s="4">
        <v>-336749</v>
      </c>
      <c r="L175" s="4">
        <v>-9666092</v>
      </c>
      <c r="M175" s="4">
        <v>-9097629</v>
      </c>
      <c r="N175" s="4" t="s">
        <v>24</v>
      </c>
      <c r="O175" s="5" t="s">
        <v>24</v>
      </c>
      <c r="P175" s="4" t="s">
        <v>24</v>
      </c>
      <c r="Q175" s="4" t="s">
        <v>24</v>
      </c>
      <c r="R175" s="4" t="s">
        <v>24</v>
      </c>
      <c r="S175" s="4" t="s">
        <v>24</v>
      </c>
    </row>
    <row r="176" spans="1:19" ht="16" x14ac:dyDescent="0.2">
      <c r="A176" s="3" t="s">
        <v>177</v>
      </c>
      <c r="B176" s="4">
        <v>-670772</v>
      </c>
      <c r="C176" s="4">
        <v>-369452053</v>
      </c>
      <c r="D176" s="4">
        <v>-11865524</v>
      </c>
      <c r="E176" s="4">
        <v>3444855</v>
      </c>
      <c r="F176" s="4">
        <v>-4235186</v>
      </c>
      <c r="G176" s="4">
        <v>-5322847</v>
      </c>
      <c r="H176" s="4">
        <v>-114757038</v>
      </c>
      <c r="I176" s="4">
        <v>-225629818</v>
      </c>
      <c r="J176" s="4">
        <v>-68245730</v>
      </c>
      <c r="K176" s="4">
        <v>-59604656</v>
      </c>
      <c r="L176" s="4">
        <v>-149396175</v>
      </c>
      <c r="M176" s="4">
        <v>-179678172</v>
      </c>
      <c r="N176" s="4">
        <v>-131271412</v>
      </c>
      <c r="O176" s="5">
        <v>1091000</v>
      </c>
      <c r="P176" s="4">
        <v>1137204</v>
      </c>
      <c r="Q176" s="4">
        <v>-125453462</v>
      </c>
      <c r="R176" s="4">
        <v>-3201742</v>
      </c>
      <c r="S176" s="4">
        <v>4364001</v>
      </c>
    </row>
    <row r="177" spans="1:19" ht="16" x14ac:dyDescent="0.2">
      <c r="A177" s="3" t="s">
        <v>178</v>
      </c>
      <c r="B177" s="4" t="s">
        <v>24</v>
      </c>
      <c r="C177" s="4" t="s">
        <v>24</v>
      </c>
      <c r="D177" s="4">
        <v>131839</v>
      </c>
      <c r="E177" s="4">
        <v>4271620</v>
      </c>
      <c r="F177" s="4" t="s">
        <v>24</v>
      </c>
      <c r="G177" s="4">
        <v>325889</v>
      </c>
      <c r="H177" s="4" t="s">
        <v>24</v>
      </c>
      <c r="I177" s="4" t="s">
        <v>24</v>
      </c>
      <c r="J177" s="4" t="s">
        <v>24</v>
      </c>
      <c r="K177" s="4" t="s">
        <v>24</v>
      </c>
      <c r="L177" s="4" t="s">
        <v>24</v>
      </c>
      <c r="M177" s="4" t="s">
        <v>24</v>
      </c>
      <c r="N177" s="4" t="s">
        <v>24</v>
      </c>
      <c r="O177" s="5" t="s">
        <v>24</v>
      </c>
      <c r="P177" s="4" t="s">
        <v>24</v>
      </c>
      <c r="Q177" s="4" t="s">
        <v>24</v>
      </c>
      <c r="R177" s="4" t="s">
        <v>24</v>
      </c>
      <c r="S177" s="4" t="s">
        <v>24</v>
      </c>
    </row>
    <row r="178" spans="1:19" ht="16" x14ac:dyDescent="0.2">
      <c r="A178" s="3" t="s">
        <v>179</v>
      </c>
      <c r="B178" s="4">
        <v>-670772</v>
      </c>
      <c r="C178" s="4">
        <v>-369452053</v>
      </c>
      <c r="D178" s="4">
        <v>-11997363</v>
      </c>
      <c r="E178" s="4">
        <v>-826765</v>
      </c>
      <c r="F178" s="4">
        <v>-4235186</v>
      </c>
      <c r="G178" s="4">
        <v>-5648736</v>
      </c>
      <c r="H178" s="4">
        <v>-114757038</v>
      </c>
      <c r="I178" s="4">
        <v>-225629818</v>
      </c>
      <c r="J178" s="4">
        <v>-68245730</v>
      </c>
      <c r="K178" s="4">
        <v>-59604656</v>
      </c>
      <c r="L178" s="4">
        <v>-149396175</v>
      </c>
      <c r="M178" s="4">
        <v>-179678172</v>
      </c>
      <c r="N178" s="4">
        <v>-131271412</v>
      </c>
      <c r="O178" s="5">
        <v>1091000</v>
      </c>
      <c r="P178" s="4">
        <v>1137204</v>
      </c>
      <c r="Q178" s="4">
        <v>-125453462</v>
      </c>
      <c r="R178" s="4">
        <v>-3201742</v>
      </c>
      <c r="S178" s="4">
        <v>4364001</v>
      </c>
    </row>
    <row r="179" spans="1:19" ht="16" x14ac:dyDescent="0.2">
      <c r="A179" s="3" t="s">
        <v>180</v>
      </c>
      <c r="B179" s="4" t="s">
        <v>24</v>
      </c>
      <c r="C179" s="4">
        <v>-129814</v>
      </c>
      <c r="D179" s="4">
        <v>-131839</v>
      </c>
      <c r="E179" s="4">
        <v>-137794</v>
      </c>
      <c r="F179" s="4" t="s">
        <v>24</v>
      </c>
      <c r="G179" s="4">
        <v>-108630</v>
      </c>
      <c r="H179" s="4">
        <v>-105475</v>
      </c>
      <c r="I179" s="4" t="s">
        <v>24</v>
      </c>
      <c r="J179" s="4" t="s">
        <v>24</v>
      </c>
      <c r="K179" s="4">
        <v>-227642641</v>
      </c>
      <c r="L179" s="4">
        <v>-243242913</v>
      </c>
      <c r="M179" s="4">
        <v>-242224371</v>
      </c>
      <c r="N179" s="4">
        <v>-279618779</v>
      </c>
      <c r="O179" s="5">
        <v>-294570092</v>
      </c>
      <c r="P179" s="4">
        <v>-127366805</v>
      </c>
      <c r="Q179" s="4">
        <v>-134862472</v>
      </c>
      <c r="R179" s="4">
        <v>-141943884</v>
      </c>
      <c r="S179" s="4">
        <v>-149467047</v>
      </c>
    </row>
    <row r="180" spans="1:19" ht="16" x14ac:dyDescent="0.2">
      <c r="A180" s="3" t="s">
        <v>155</v>
      </c>
      <c r="B180" s="4" t="s">
        <v>24</v>
      </c>
      <c r="C180" s="4" t="s">
        <v>24</v>
      </c>
      <c r="D180" s="4" t="s">
        <v>24</v>
      </c>
      <c r="E180" s="4" t="s">
        <v>24</v>
      </c>
      <c r="F180" s="4" t="s">
        <v>24</v>
      </c>
      <c r="G180" s="4" t="s">
        <v>24</v>
      </c>
      <c r="H180" s="4" t="s">
        <v>24</v>
      </c>
      <c r="I180" s="4" t="s">
        <v>24</v>
      </c>
      <c r="J180" s="4" t="s">
        <v>24</v>
      </c>
      <c r="K180" s="4" t="s">
        <v>24</v>
      </c>
      <c r="L180" s="4" t="s">
        <v>24</v>
      </c>
      <c r="M180" s="4" t="s">
        <v>24</v>
      </c>
      <c r="N180" s="4" t="s">
        <v>24</v>
      </c>
      <c r="O180" s="5" t="s">
        <v>24</v>
      </c>
      <c r="P180" s="4" t="s">
        <v>24</v>
      </c>
      <c r="Q180" s="4" t="s">
        <v>24</v>
      </c>
      <c r="R180" s="4" t="s">
        <v>24</v>
      </c>
      <c r="S180" s="4" t="s">
        <v>24</v>
      </c>
    </row>
    <row r="181" spans="1:19" ht="16" x14ac:dyDescent="0.2">
      <c r="A181" s="3" t="s">
        <v>181</v>
      </c>
      <c r="B181" s="4">
        <v>-189023490</v>
      </c>
      <c r="C181" s="4">
        <v>-586501888</v>
      </c>
      <c r="D181" s="4">
        <v>-1005405404</v>
      </c>
      <c r="E181" s="4">
        <v>-386788294</v>
      </c>
      <c r="F181" s="4">
        <v>-362894931</v>
      </c>
      <c r="G181" s="4">
        <v>-908903278</v>
      </c>
      <c r="H181" s="4">
        <v>-496999232</v>
      </c>
      <c r="I181" s="4">
        <v>-709551142</v>
      </c>
      <c r="J181" s="4">
        <v>-1165550193</v>
      </c>
      <c r="K181" s="4">
        <v>-833791685</v>
      </c>
      <c r="L181" s="4">
        <v>-991324990</v>
      </c>
      <c r="M181" s="4">
        <v>-988229946</v>
      </c>
      <c r="N181" s="4">
        <v>-1320184848</v>
      </c>
      <c r="O181" s="5">
        <v>-1805605563</v>
      </c>
      <c r="P181" s="4">
        <v>-127366805</v>
      </c>
      <c r="Q181" s="4">
        <v>-1148944626</v>
      </c>
      <c r="R181" s="4">
        <v>-147280120</v>
      </c>
      <c r="S181" s="4">
        <v>-1655047516</v>
      </c>
    </row>
    <row r="182" spans="1:19" ht="16" x14ac:dyDescent="0.2">
      <c r="A182" s="3" t="s">
        <v>182</v>
      </c>
      <c r="B182" s="4">
        <v>16769295</v>
      </c>
      <c r="C182" s="4">
        <v>-8827386</v>
      </c>
      <c r="D182" s="4">
        <v>-2373105</v>
      </c>
      <c r="E182" s="4">
        <v>-27283250</v>
      </c>
      <c r="F182" s="4">
        <v>57356518</v>
      </c>
      <c r="G182" s="4">
        <v>43451812</v>
      </c>
      <c r="H182" s="4">
        <v>-36388951</v>
      </c>
      <c r="I182" s="4">
        <v>-91500757</v>
      </c>
      <c r="J182" s="4">
        <v>60358033</v>
      </c>
      <c r="K182" s="4">
        <v>37154691</v>
      </c>
      <c r="L182" s="4">
        <v>-66806152</v>
      </c>
      <c r="M182" s="4">
        <v>125092398</v>
      </c>
      <c r="N182" s="4">
        <v>169692313</v>
      </c>
      <c r="O182" s="5">
        <v>-158195049</v>
      </c>
      <c r="P182" s="4">
        <v>88701882</v>
      </c>
      <c r="Q182" s="4">
        <v>157862274</v>
      </c>
      <c r="R182" s="4">
        <v>8537978</v>
      </c>
      <c r="S182" s="4">
        <v>-166923052</v>
      </c>
    </row>
    <row r="183" spans="1:19" ht="16" x14ac:dyDescent="0.2">
      <c r="A183" s="3" t="s">
        <v>183</v>
      </c>
      <c r="B183" s="4">
        <v>449148791</v>
      </c>
      <c r="C183" s="4">
        <v>281048382</v>
      </c>
      <c r="D183" s="4">
        <v>-461832563</v>
      </c>
      <c r="E183" s="4">
        <v>489996143</v>
      </c>
      <c r="F183" s="4">
        <v>426059704</v>
      </c>
      <c r="G183" s="4">
        <v>116994004</v>
      </c>
      <c r="H183" s="4">
        <v>825976440</v>
      </c>
      <c r="I183" s="4">
        <v>802132616</v>
      </c>
      <c r="J183" s="4">
        <v>572143852</v>
      </c>
      <c r="K183" s="4">
        <v>980389954</v>
      </c>
      <c r="L183" s="4">
        <v>489422360</v>
      </c>
      <c r="M183" s="4">
        <v>2123159159</v>
      </c>
      <c r="N183" s="4">
        <v>2527241488</v>
      </c>
      <c r="O183" s="5">
        <v>2389290745</v>
      </c>
      <c r="P183" s="4">
        <v>1465855466</v>
      </c>
      <c r="Q183" s="4">
        <v>453723356</v>
      </c>
      <c r="R183" s="4">
        <v>2064056182</v>
      </c>
      <c r="S183" s="4">
        <v>279296087</v>
      </c>
    </row>
    <row r="184" spans="1:19" ht="16" x14ac:dyDescent="0.2">
      <c r="A184" s="3" t="s">
        <v>54</v>
      </c>
      <c r="B184" s="4">
        <v>1026683302</v>
      </c>
      <c r="C184" s="4">
        <v>1293341814</v>
      </c>
      <c r="D184" s="4">
        <v>1633223465</v>
      </c>
      <c r="E184" s="4">
        <v>1869453789</v>
      </c>
      <c r="F184" s="4">
        <v>1760143268</v>
      </c>
      <c r="G184" s="4">
        <v>1884505086</v>
      </c>
      <c r="H184" s="4">
        <v>2031769144</v>
      </c>
      <c r="I184" s="4">
        <v>2599726219</v>
      </c>
      <c r="J184" s="4">
        <v>2850888218</v>
      </c>
      <c r="K184" s="4">
        <v>3159720268</v>
      </c>
      <c r="L184" s="4">
        <v>3119578123</v>
      </c>
      <c r="M184" s="4">
        <v>4729629856</v>
      </c>
      <c r="N184" s="4">
        <v>5791950826</v>
      </c>
      <c r="O184" s="5">
        <v>6609280060</v>
      </c>
      <c r="P184" s="4">
        <v>2419969303</v>
      </c>
      <c r="Q184" s="4">
        <v>2781930529</v>
      </c>
      <c r="R184" s="4">
        <v>2952005894</v>
      </c>
      <c r="S184" s="4">
        <v>3591573119</v>
      </c>
    </row>
    <row r="185" spans="1:19" ht="16" x14ac:dyDescent="0.2">
      <c r="A185" s="3" t="s">
        <v>55</v>
      </c>
      <c r="B185" s="6">
        <v>31.88</v>
      </c>
      <c r="C185" s="6">
        <v>35.07</v>
      </c>
      <c r="D185" s="6">
        <v>35.56</v>
      </c>
      <c r="E185" s="6">
        <v>36.130000000000003</v>
      </c>
      <c r="F185" s="6">
        <v>35.32</v>
      </c>
      <c r="G185" s="6">
        <v>35.840000000000003</v>
      </c>
      <c r="H185" s="6">
        <v>37.03</v>
      </c>
      <c r="I185" s="6">
        <v>39.020000000000003</v>
      </c>
      <c r="J185" s="6">
        <v>41.8</v>
      </c>
      <c r="K185" s="6">
        <v>40.89</v>
      </c>
      <c r="L185" s="6">
        <v>39.9</v>
      </c>
      <c r="M185" s="6">
        <v>46.3</v>
      </c>
      <c r="N185" s="6">
        <v>46.78</v>
      </c>
      <c r="O185" s="7">
        <v>47.24</v>
      </c>
      <c r="P185" s="6">
        <v>43.63</v>
      </c>
      <c r="Q185" s="6">
        <v>46.7</v>
      </c>
      <c r="R185" s="6">
        <v>46.57</v>
      </c>
      <c r="S185" s="6">
        <v>47.07</v>
      </c>
    </row>
    <row r="186" spans="1:19" ht="16" x14ac:dyDescent="0.2">
      <c r="A186" s="3" t="s">
        <v>184</v>
      </c>
      <c r="B186" s="4">
        <v>20793925</v>
      </c>
      <c r="C186" s="4">
        <v>37905833</v>
      </c>
      <c r="D186" s="4">
        <v>2504944</v>
      </c>
      <c r="E186" s="4">
        <v>69586066</v>
      </c>
      <c r="F186" s="4" t="s">
        <v>24</v>
      </c>
      <c r="G186" s="4" t="s">
        <v>24</v>
      </c>
      <c r="H186" s="4" t="s">
        <v>24</v>
      </c>
      <c r="I186" s="4" t="s">
        <v>24</v>
      </c>
      <c r="J186" s="4" t="s">
        <v>24</v>
      </c>
      <c r="K186" s="4" t="s">
        <v>24</v>
      </c>
      <c r="L186" s="4">
        <v>-11990848</v>
      </c>
      <c r="M186" s="4" t="s">
        <v>24</v>
      </c>
      <c r="N186" s="4">
        <v>1067247</v>
      </c>
      <c r="O186" s="5">
        <v>79643025</v>
      </c>
      <c r="P186" s="4" t="s">
        <v>24</v>
      </c>
      <c r="Q186" s="4" t="s">
        <v>24</v>
      </c>
      <c r="R186" s="4" t="s">
        <v>24</v>
      </c>
      <c r="S186" s="4">
        <v>79643025</v>
      </c>
    </row>
    <row r="187" spans="1:19" ht="16" x14ac:dyDescent="0.2">
      <c r="A187" s="3" t="s">
        <v>185</v>
      </c>
      <c r="B187" s="4">
        <v>704981151</v>
      </c>
      <c r="C187" s="4">
        <v>714888424</v>
      </c>
      <c r="D187" s="4">
        <v>670006591</v>
      </c>
      <c r="E187" s="4">
        <v>944854768</v>
      </c>
      <c r="F187" s="4">
        <v>832395541</v>
      </c>
      <c r="G187" s="4">
        <v>1013839403</v>
      </c>
      <c r="H187" s="4">
        <v>1278148704</v>
      </c>
      <c r="I187" s="4">
        <v>1609428661</v>
      </c>
      <c r="J187" s="4">
        <v>1654244493</v>
      </c>
      <c r="K187" s="4">
        <v>2342990555</v>
      </c>
      <c r="L187" s="4">
        <v>2009568210</v>
      </c>
      <c r="M187" s="4">
        <v>3872178326</v>
      </c>
      <c r="N187" s="4">
        <v>4465362494</v>
      </c>
      <c r="O187" s="5">
        <v>4692392462</v>
      </c>
      <c r="P187" s="4">
        <v>2107238308</v>
      </c>
      <c r="Q187" s="4">
        <v>1620440556</v>
      </c>
      <c r="R187" s="4">
        <v>2608352279</v>
      </c>
      <c r="S187" s="4">
        <v>2025987631</v>
      </c>
    </row>
    <row r="188" spans="1:19" ht="16" x14ac:dyDescent="0.2">
      <c r="A188" s="29" t="s">
        <v>186</v>
      </c>
      <c r="B188" s="27">
        <v>693861295</v>
      </c>
      <c r="C188" s="27">
        <v>714536795</v>
      </c>
      <c r="D188" s="27">
        <v>671356564</v>
      </c>
      <c r="E188" s="27">
        <v>945774088</v>
      </c>
      <c r="F188" s="27">
        <v>832718665</v>
      </c>
      <c r="G188" s="27">
        <v>1014327404</v>
      </c>
      <c r="H188" s="27">
        <v>1279197794</v>
      </c>
      <c r="I188" s="27">
        <v>1610669490</v>
      </c>
      <c r="J188" s="27">
        <v>1658567154</v>
      </c>
      <c r="K188" s="27">
        <v>2361319429</v>
      </c>
      <c r="L188" s="27">
        <v>2036892990</v>
      </c>
      <c r="M188" s="27">
        <v>3897815895</v>
      </c>
      <c r="N188" s="27">
        <v>4498333181</v>
      </c>
      <c r="O188" s="28">
        <v>4692392462</v>
      </c>
      <c r="P188" s="27">
        <v>2107238308</v>
      </c>
      <c r="Q188" s="27">
        <v>1620440556</v>
      </c>
      <c r="R188" s="27">
        <v>2608352279</v>
      </c>
      <c r="S188" s="27">
        <v>2025987631</v>
      </c>
    </row>
    <row r="189" spans="1:19" ht="16" x14ac:dyDescent="0.2">
      <c r="A189" s="21" t="s">
        <v>199</v>
      </c>
      <c r="B189" s="22"/>
      <c r="C189" s="23">
        <f>(C188/B188)-1</f>
        <v>2.9797742213016898E-2</v>
      </c>
      <c r="D189" s="23">
        <f>(D188/C188)-1</f>
        <v>-6.0431081089392991E-2</v>
      </c>
      <c r="E189" s="23">
        <f>(E188/D188)-1</f>
        <v>0.40875078715995095</v>
      </c>
      <c r="F189" s="23">
        <f t="shared" ref="F189:N189" si="8">(F188/E188)-1</f>
        <v>-0.11953745025841733</v>
      </c>
      <c r="G189" s="23">
        <f t="shared" si="8"/>
        <v>0.21809135141698777</v>
      </c>
      <c r="H189" s="23">
        <f t="shared" si="8"/>
        <v>0.26112908805922386</v>
      </c>
      <c r="I189" s="23">
        <f t="shared" si="8"/>
        <v>0.25912466199890893</v>
      </c>
      <c r="J189" s="23">
        <f t="shared" si="8"/>
        <v>2.9737735952271693E-2</v>
      </c>
      <c r="K189" s="23">
        <f t="shared" si="8"/>
        <v>0.42371047401074957</v>
      </c>
      <c r="L189" s="23">
        <f t="shared" si="8"/>
        <v>-0.13739201694426917</v>
      </c>
      <c r="M189" s="23">
        <f t="shared" si="8"/>
        <v>0.91360857646233051</v>
      </c>
      <c r="N189" s="23">
        <f t="shared" si="8"/>
        <v>0.15406507187020435</v>
      </c>
      <c r="O189" s="23">
        <f>(O188/N188)-1</f>
        <v>4.314026400260107E-2</v>
      </c>
      <c r="P189" s="23"/>
      <c r="Q189" s="23">
        <f>(Q188/P188)-1</f>
        <v>-0.23101219741113399</v>
      </c>
      <c r="R189" s="23">
        <f>(R188/Q188)-1</f>
        <v>0.60965625634464815</v>
      </c>
      <c r="S189" s="23">
        <f>(S188/R188)-1</f>
        <v>-0.22326916984667011</v>
      </c>
    </row>
    <row r="190" spans="1:19" ht="16" x14ac:dyDescent="0.2">
      <c r="A190" s="24" t="s">
        <v>200</v>
      </c>
      <c r="B190" s="25">
        <f t="shared" ref="B190:S190" si="9">B188/B2</f>
        <v>0.21543283401398056</v>
      </c>
      <c r="C190" s="25">
        <f t="shared" si="9"/>
        <v>0.193731215560417</v>
      </c>
      <c r="D190" s="25">
        <f t="shared" si="9"/>
        <v>0.14615652670755092</v>
      </c>
      <c r="E190" s="25">
        <f t="shared" si="9"/>
        <v>0.18279726459240325</v>
      </c>
      <c r="F190" s="25">
        <f t="shared" si="9"/>
        <v>0.16708761052411084</v>
      </c>
      <c r="G190" s="25">
        <f t="shared" si="9"/>
        <v>0.19288354344187963</v>
      </c>
      <c r="H190" s="25">
        <f t="shared" si="9"/>
        <v>0.23313110450268623</v>
      </c>
      <c r="I190" s="25">
        <f t="shared" si="9"/>
        <v>0.24172088036299966</v>
      </c>
      <c r="J190" s="25">
        <f t="shared" si="9"/>
        <v>0.24318757273274791</v>
      </c>
      <c r="K190" s="25">
        <f t="shared" si="9"/>
        <v>0.30560894960160662</v>
      </c>
      <c r="L190" s="25">
        <f t="shared" si="9"/>
        <v>0.26054594631415195</v>
      </c>
      <c r="M190" s="25">
        <f t="shared" si="9"/>
        <v>0.38160146917004273</v>
      </c>
      <c r="N190" s="25">
        <f t="shared" si="9"/>
        <v>0.36332154159755348</v>
      </c>
      <c r="O190" s="26">
        <f t="shared" si="9"/>
        <v>0.33536062374539299</v>
      </c>
      <c r="P190" s="25">
        <f t="shared" si="9"/>
        <v>0.39043404971730117</v>
      </c>
      <c r="Q190" s="25">
        <f t="shared" si="9"/>
        <v>0.28315674098100235</v>
      </c>
      <c r="R190" s="25">
        <f t="shared" si="9"/>
        <v>0.39889015830040164</v>
      </c>
      <c r="S190" s="25">
        <f t="shared" si="9"/>
        <v>0.27724693934503059</v>
      </c>
    </row>
    <row r="191" spans="1:19" ht="16" x14ac:dyDescent="0.2">
      <c r="A191" s="3" t="s">
        <v>187</v>
      </c>
      <c r="B191" s="4">
        <v>711688869</v>
      </c>
      <c r="C191" s="4">
        <v>743058169</v>
      </c>
      <c r="D191" s="4">
        <v>685168094</v>
      </c>
      <c r="E191" s="4">
        <v>968141986</v>
      </c>
      <c r="F191" s="4">
        <v>873416342</v>
      </c>
      <c r="G191" s="4">
        <v>1076844531</v>
      </c>
      <c r="H191" s="4">
        <v>1344387141</v>
      </c>
      <c r="I191" s="4">
        <v>1671629963</v>
      </c>
      <c r="J191" s="4">
        <v>1802510342</v>
      </c>
      <c r="K191" s="4">
        <v>2342990555</v>
      </c>
      <c r="L191" s="4">
        <v>2010179988</v>
      </c>
      <c r="M191" s="4">
        <v>3866492308</v>
      </c>
      <c r="N191" s="4">
        <v>4466429741</v>
      </c>
      <c r="O191" s="5">
        <v>4692392462</v>
      </c>
      <c r="P191" s="4">
        <v>2108375511</v>
      </c>
      <c r="Q191" s="4">
        <v>1620440556</v>
      </c>
      <c r="R191" s="4">
        <v>2608352279</v>
      </c>
      <c r="S191" s="4">
        <v>2025987631</v>
      </c>
    </row>
    <row r="192" spans="1:19" ht="16" x14ac:dyDescent="0.2">
      <c r="A192" s="3" t="s">
        <v>188</v>
      </c>
      <c r="B192" s="6">
        <v>6.71</v>
      </c>
      <c r="C192" s="6">
        <v>6.84</v>
      </c>
      <c r="D192" s="6">
        <v>6.43</v>
      </c>
      <c r="E192" s="6">
        <v>9.08</v>
      </c>
      <c r="F192" s="6">
        <v>7.99</v>
      </c>
      <c r="G192" s="6">
        <v>9.7100000000000009</v>
      </c>
      <c r="H192" s="6">
        <v>12.22</v>
      </c>
      <c r="I192" s="6">
        <v>15.41</v>
      </c>
      <c r="J192" s="6">
        <v>15.87</v>
      </c>
      <c r="K192" s="6">
        <v>22.48</v>
      </c>
      <c r="L192" s="6">
        <v>19.25</v>
      </c>
      <c r="M192" s="6">
        <v>37.020000000000003</v>
      </c>
      <c r="N192" s="6">
        <v>42.7</v>
      </c>
      <c r="O192" s="7">
        <v>44.88</v>
      </c>
      <c r="P192" s="6">
        <v>20.14</v>
      </c>
      <c r="Q192" s="6">
        <v>15.49</v>
      </c>
      <c r="R192" s="6">
        <v>24.95</v>
      </c>
      <c r="S192" s="6">
        <v>19.38</v>
      </c>
    </row>
    <row r="193" spans="1:19" ht="16" x14ac:dyDescent="0.2">
      <c r="A193" s="3" t="s">
        <v>189</v>
      </c>
      <c r="B193" s="6">
        <v>20.149999999999999</v>
      </c>
      <c r="C193" s="6">
        <v>26.25</v>
      </c>
      <c r="D193" s="6">
        <v>22.4</v>
      </c>
      <c r="E193" s="6">
        <v>24.38</v>
      </c>
      <c r="F193" s="6">
        <v>24.26</v>
      </c>
      <c r="G193" s="6">
        <v>22.59</v>
      </c>
      <c r="H193" s="6">
        <v>23.62</v>
      </c>
      <c r="I193" s="6">
        <v>25.08</v>
      </c>
      <c r="J193" s="6">
        <v>24.54</v>
      </c>
      <c r="K193" s="6">
        <v>33.53</v>
      </c>
      <c r="L193" s="6">
        <v>56.17</v>
      </c>
      <c r="M193" s="6">
        <v>47.35</v>
      </c>
      <c r="N193" s="6">
        <v>36.24</v>
      </c>
      <c r="O193" s="7">
        <v>43.46</v>
      </c>
      <c r="P193" s="6">
        <v>31.93</v>
      </c>
      <c r="Q193" s="6">
        <v>16.8</v>
      </c>
      <c r="R193" s="6">
        <v>19.5</v>
      </c>
      <c r="S193" s="6">
        <v>24.32</v>
      </c>
    </row>
    <row r="194" spans="1:19" ht="16" x14ac:dyDescent="0.2">
      <c r="A194" s="3" t="s">
        <v>190</v>
      </c>
      <c r="B194" s="6">
        <v>1.54</v>
      </c>
      <c r="C194" s="6">
        <v>1.22</v>
      </c>
      <c r="D194" s="6">
        <v>1.04</v>
      </c>
      <c r="E194" s="6">
        <v>1.1299999999999999</v>
      </c>
      <c r="F194" s="6">
        <v>1.1299999999999999</v>
      </c>
      <c r="G194" s="6">
        <v>1.22</v>
      </c>
      <c r="H194" s="6">
        <v>1.34</v>
      </c>
      <c r="I194" s="6">
        <v>1.31</v>
      </c>
      <c r="J194" s="6">
        <v>1.25</v>
      </c>
      <c r="K194" s="6">
        <v>1.37</v>
      </c>
      <c r="L194" s="6">
        <v>1.19</v>
      </c>
      <c r="M194" s="6">
        <v>1.39</v>
      </c>
      <c r="N194" s="6">
        <v>1.24</v>
      </c>
      <c r="O194" s="7">
        <v>1.1499999999999999</v>
      </c>
      <c r="P194" s="6">
        <v>1.46</v>
      </c>
      <c r="Q194" s="6">
        <v>1.06</v>
      </c>
      <c r="R194" s="6">
        <v>1.42</v>
      </c>
      <c r="S194" s="6">
        <v>0.95</v>
      </c>
    </row>
  </sheetData>
  <pageMargins left="0.7" right="0.7" top="0.75" bottom="0.75" header="0.3" footer="0.3"/>
  <ignoredErrors>
    <ignoredError sqref="B1:S1 A4:S7 A15:S16 A19:S33 A2:S2 A9:S11 A13 A191:S196 A39:S128 A130:S142 A37:S37 A144:S187 A188:N1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58B2-DD49-E948-B297-BDE6F311DF55}">
  <dimension ref="A1:R110"/>
  <sheetViews>
    <sheetView tabSelected="1" workbookViewId="0">
      <selection activeCell="I18" sqref="I18"/>
    </sheetView>
  </sheetViews>
  <sheetFormatPr baseColWidth="10" defaultRowHeight="15" x14ac:dyDescent="0.2"/>
  <cols>
    <col min="1" max="11" width="18.83203125" customWidth="1"/>
    <col min="12" max="12" width="19.33203125" customWidth="1"/>
    <col min="13" max="18" width="18.83203125" customWidth="1"/>
  </cols>
  <sheetData>
    <row r="1" spans="1:18" s="119" customFormat="1" ht="22" customHeight="1" x14ac:dyDescent="0.2">
      <c r="A1" s="119" t="e" vm="1">
        <v>#VALUE!</v>
      </c>
    </row>
    <row r="2" spans="1:18" s="119" customFormat="1" ht="22" customHeight="1" thickBot="1" x14ac:dyDescent="0.25"/>
    <row r="3" spans="1:18" ht="22" customHeight="1" x14ac:dyDescent="0.2">
      <c r="A3" s="36" cm="1">
        <f t="array" ref="A3">_FV(A1,"Market cap",TRUE)*K8</f>
        <v>225855839360</v>
      </c>
      <c r="B3" s="37" t="s">
        <v>253</v>
      </c>
      <c r="C3" s="38">
        <f>Financials!O8*0.01</f>
        <v>0.71420000000000006</v>
      </c>
      <c r="D3" s="37" t="s">
        <v>202</v>
      </c>
      <c r="E3" s="38">
        <f>SUM(C11:E11)/3</f>
        <v>0.1768284389674708</v>
      </c>
      <c r="F3" s="39" t="s">
        <v>203</v>
      </c>
      <c r="G3" s="40">
        <f>AVERAGE(Financials!I129:N129)</f>
        <v>7.5604149981848653E-5</v>
      </c>
      <c r="H3" s="39" t="s">
        <v>204</v>
      </c>
      <c r="I3" s="41">
        <f>J15*(1+I7)/(I6-I7)</f>
        <v>125952466872.72803</v>
      </c>
      <c r="J3" s="42" t="s">
        <v>205</v>
      </c>
      <c r="K3" s="43">
        <f>(Financials!O172*-1)/Model!A3</f>
        <v>6.695095753489754E-3</v>
      </c>
      <c r="L3" s="44" t="s">
        <v>206</v>
      </c>
      <c r="M3" s="45"/>
      <c r="N3" s="120" t="s">
        <v>207</v>
      </c>
      <c r="O3" s="121"/>
      <c r="P3" s="45"/>
      <c r="Q3" s="45"/>
      <c r="R3" s="45"/>
    </row>
    <row r="4" spans="1:18" ht="22" customHeight="1" x14ac:dyDescent="0.2">
      <c r="A4" s="46">
        <f>Financials!O56-Financials!O96-Financials!O105</f>
        <v>8030853503</v>
      </c>
      <c r="B4" s="47" t="s">
        <v>208</v>
      </c>
      <c r="C4" s="48">
        <f>Financials!O17*0.01</f>
        <v>0.42229999999999995</v>
      </c>
      <c r="D4" s="47" t="s">
        <v>209</v>
      </c>
      <c r="E4" s="48">
        <f>SUM(C13:E13)/3</f>
        <v>0.30694541632234851</v>
      </c>
      <c r="F4" s="49" t="s">
        <v>210</v>
      </c>
      <c r="G4" s="50">
        <f>A5*(1+(5*G3))</f>
        <v>105609307.42375548</v>
      </c>
      <c r="H4" s="49" t="s">
        <v>211</v>
      </c>
      <c r="I4" s="51">
        <f>NPV(I6,F15,G15,H15,I15,(J15+I3))</f>
        <v>109358573045.32025</v>
      </c>
      <c r="J4" s="49" t="s">
        <v>212</v>
      </c>
      <c r="K4" s="52" cm="1">
        <f t="array" ref="K4">_FV(A1,"Change (%)",TRUE)</f>
        <v>1.4846E-2</v>
      </c>
      <c r="L4" s="53" t="s">
        <v>213</v>
      </c>
      <c r="M4" s="45"/>
      <c r="N4" s="122" t="s">
        <v>214</v>
      </c>
      <c r="O4" s="123"/>
      <c r="P4" s="45"/>
      <c r="Q4" s="45"/>
      <c r="R4" s="45"/>
    </row>
    <row r="5" spans="1:18" ht="22" customHeight="1" x14ac:dyDescent="0.2">
      <c r="A5" s="46" cm="1">
        <f t="array" ref="A5">_FV(A1,"Shares outstanding",TRUE)</f>
        <v>105569400</v>
      </c>
      <c r="B5" s="47" t="s">
        <v>215</v>
      </c>
      <c r="C5" s="48">
        <f>F14</f>
        <v>0.30072382658010594</v>
      </c>
      <c r="D5" s="54" t="s">
        <v>216</v>
      </c>
      <c r="E5" s="48">
        <f>SUM(C16:E16)/3</f>
        <v>0.31009387712942188</v>
      </c>
      <c r="F5" s="49" t="s">
        <v>217</v>
      </c>
      <c r="G5" s="50">
        <f>Financials!O56</f>
        <v>10199762179</v>
      </c>
      <c r="H5" s="49" t="s">
        <v>218</v>
      </c>
      <c r="I5" s="51">
        <f>I4+G5-G6</f>
        <v>117389426548.32025</v>
      </c>
      <c r="J5" s="49" t="s">
        <v>219</v>
      </c>
      <c r="K5" s="55" cm="1">
        <f t="array" ref="K5">_FV(A1,"Price")*K8</f>
        <v>2139.4060799999997</v>
      </c>
      <c r="L5" s="56" t="s">
        <v>252</v>
      </c>
      <c r="M5" s="45"/>
      <c r="N5" s="57" t="s">
        <v>220</v>
      </c>
      <c r="O5" s="58">
        <f>Financials!O21</f>
        <v>-53459017</v>
      </c>
      <c r="P5" s="45"/>
      <c r="Q5" s="45"/>
      <c r="R5" s="45"/>
    </row>
    <row r="6" spans="1:18" ht="22" customHeight="1" x14ac:dyDescent="0.2">
      <c r="A6" s="59">
        <f>O20/F10</f>
        <v>15.616804716065966</v>
      </c>
      <c r="B6" s="47" t="s">
        <v>221</v>
      </c>
      <c r="C6" s="48">
        <f>F17</f>
        <v>0.26863666890530558</v>
      </c>
      <c r="D6" s="54" t="s">
        <v>200</v>
      </c>
      <c r="E6" s="48">
        <f>Financials!O33/Financials!O126</f>
        <v>0.29837674597020425</v>
      </c>
      <c r="F6" s="47" t="s">
        <v>222</v>
      </c>
      <c r="G6" s="50">
        <f>Financials!O96+Financials!O105</f>
        <v>2168908676</v>
      </c>
      <c r="H6" s="49" t="s">
        <v>223</v>
      </c>
      <c r="I6" s="60">
        <f>N25</f>
        <v>7.154735350220788E-2</v>
      </c>
      <c r="J6" s="49" t="s">
        <v>224</v>
      </c>
      <c r="K6" s="61">
        <f>(I5/G4)</f>
        <v>1111.5443270288408</v>
      </c>
      <c r="L6" s="62" t="s">
        <v>251</v>
      </c>
      <c r="M6" s="45"/>
      <c r="N6" s="57" t="s">
        <v>225</v>
      </c>
      <c r="O6" s="58">
        <f>Financials!O96</f>
        <v>334937104</v>
      </c>
      <c r="P6" s="45"/>
      <c r="Q6" s="45"/>
      <c r="R6" s="45"/>
    </row>
    <row r="7" spans="1:18" ht="22" customHeight="1" thickBot="1" x14ac:dyDescent="0.25">
      <c r="A7" s="63">
        <f>O20/F12</f>
        <v>51.930719602977668</v>
      </c>
      <c r="B7" s="64" t="s">
        <v>226</v>
      </c>
      <c r="C7" s="65">
        <f>F15/A3</f>
        <v>1.7201769106387207E-2</v>
      </c>
      <c r="D7" s="64" t="s">
        <v>227</v>
      </c>
      <c r="E7" s="66">
        <f>(Financials!O16*(1-0.25))/(Financials!O126+Financials!O105+Financials!O96)</f>
        <v>0.26665791372358016</v>
      </c>
      <c r="F7" s="64" t="s">
        <v>196</v>
      </c>
      <c r="G7" s="67">
        <f>(Financials!O96+Financials!O105)/Financials!O126</f>
        <v>0.15009437524459038</v>
      </c>
      <c r="H7" s="68" t="s">
        <v>228</v>
      </c>
      <c r="I7" s="69">
        <v>2.5000000000000001E-2</v>
      </c>
      <c r="J7" s="70" t="s">
        <v>229</v>
      </c>
      <c r="K7" s="71">
        <f>K6/K5-1</f>
        <v>-0.48044256888863246</v>
      </c>
      <c r="L7" s="72" t="s">
        <v>230</v>
      </c>
      <c r="M7" s="45"/>
      <c r="N7" s="57" t="s">
        <v>231</v>
      </c>
      <c r="O7" s="58">
        <f>Financials!O105</f>
        <v>1833971572</v>
      </c>
      <c r="P7" s="45"/>
      <c r="Q7" s="45"/>
      <c r="R7" s="45"/>
    </row>
    <row r="8" spans="1:18" ht="22" customHeight="1" x14ac:dyDescent="0.2">
      <c r="A8" s="73"/>
      <c r="B8" s="45"/>
      <c r="C8" s="45"/>
      <c r="D8" s="45"/>
      <c r="E8" s="45"/>
      <c r="F8" s="45"/>
      <c r="G8" s="45"/>
      <c r="H8" s="45"/>
      <c r="I8" s="45"/>
      <c r="J8" s="45"/>
      <c r="K8" s="74" cm="1">
        <f t="array" ref="K8">_FV(L8,"Previous close",TRUE)</f>
        <v>1.0791999999999999</v>
      </c>
      <c r="L8" s="75" t="e" vm="2">
        <v>#VALUE!</v>
      </c>
      <c r="M8" s="45"/>
      <c r="N8" s="76" t="s">
        <v>214</v>
      </c>
      <c r="O8" s="77">
        <f>O5/(O6+O7)</f>
        <v>-2.4647887479795391E-2</v>
      </c>
      <c r="P8" s="45"/>
      <c r="Q8" s="45"/>
      <c r="R8" s="45"/>
    </row>
    <row r="9" spans="1:18" ht="22" customHeight="1" x14ac:dyDescent="0.2">
      <c r="A9" s="112" t="s">
        <v>250</v>
      </c>
      <c r="B9" s="78">
        <v>2019</v>
      </c>
      <c r="C9" s="78">
        <v>2020</v>
      </c>
      <c r="D9" s="78">
        <v>2021</v>
      </c>
      <c r="E9" s="79">
        <v>2022</v>
      </c>
      <c r="F9" s="80">
        <v>2023</v>
      </c>
      <c r="G9" s="81">
        <v>2024</v>
      </c>
      <c r="H9" s="81">
        <v>2025</v>
      </c>
      <c r="I9" s="81">
        <v>2026</v>
      </c>
      <c r="J9" s="82">
        <v>2027</v>
      </c>
      <c r="K9" s="83"/>
      <c r="L9" s="84"/>
      <c r="M9" s="84"/>
      <c r="N9" s="57" t="s">
        <v>232</v>
      </c>
      <c r="O9" s="58">
        <f>Financials!O25</f>
        <v>-1624499506</v>
      </c>
      <c r="P9" s="45"/>
      <c r="Q9" s="45"/>
      <c r="R9" s="45"/>
    </row>
    <row r="10" spans="1:18" ht="22" customHeight="1" x14ac:dyDescent="0.2">
      <c r="A10" s="85" t="s">
        <v>233</v>
      </c>
      <c r="B10" s="86">
        <v>7726604316</v>
      </c>
      <c r="C10" s="86">
        <v>7817788067</v>
      </c>
      <c r="D10" s="86">
        <v>10214362915</v>
      </c>
      <c r="E10" s="87">
        <v>12381135347</v>
      </c>
      <c r="F10" s="86">
        <f>13401000000*$K$8</f>
        <v>14462359200</v>
      </c>
      <c r="G10" s="86">
        <f>14965000000*$K$8</f>
        <v>16150228000</v>
      </c>
      <c r="H10" s="86">
        <f>16548000000*$K$8</f>
        <v>17858601600</v>
      </c>
      <c r="I10" s="86">
        <f>18345000000*$K$8</f>
        <v>19797924000</v>
      </c>
      <c r="J10" s="87">
        <f>19750000000*$K$8</f>
        <v>21314200000</v>
      </c>
      <c r="K10" s="88" t="s">
        <v>234</v>
      </c>
      <c r="L10" s="84"/>
      <c r="N10" s="57" t="s">
        <v>235</v>
      </c>
      <c r="O10" s="58">
        <f>Financials!O24</f>
        <v>5876127831</v>
      </c>
      <c r="P10" s="45"/>
      <c r="Q10" s="45"/>
      <c r="R10" s="45"/>
    </row>
    <row r="11" spans="1:18" ht="22" customHeight="1" x14ac:dyDescent="0.2">
      <c r="A11" s="89"/>
      <c r="B11" s="90"/>
      <c r="C11" s="90">
        <f t="shared" ref="C11:J11" si="0">(C10/B10)-1</f>
        <v>1.1801270942680464E-2</v>
      </c>
      <c r="D11" s="90">
        <f t="shared" si="0"/>
        <v>0.30655408249249994</v>
      </c>
      <c r="E11" s="90">
        <f t="shared" si="0"/>
        <v>0.21212996346723201</v>
      </c>
      <c r="F11" s="91">
        <f t="shared" si="0"/>
        <v>0.16809636553276919</v>
      </c>
      <c r="G11" s="90">
        <f t="shared" si="0"/>
        <v>0.11670770837997169</v>
      </c>
      <c r="H11" s="90">
        <f t="shared" si="0"/>
        <v>0.10578015369194782</v>
      </c>
      <c r="I11" s="90">
        <f t="shared" si="0"/>
        <v>0.10859318346627989</v>
      </c>
      <c r="J11" s="92">
        <f t="shared" si="0"/>
        <v>7.6587626056145997E-2</v>
      </c>
      <c r="K11" s="92">
        <f>SUM(F11:J11)/5</f>
        <v>0.11515300742542292</v>
      </c>
      <c r="L11" s="84"/>
      <c r="M11" s="84"/>
      <c r="N11" s="57" t="s">
        <v>236</v>
      </c>
      <c r="O11" s="93">
        <f>O9/O10</f>
        <v>-0.27645748232872303</v>
      </c>
      <c r="P11" s="45"/>
      <c r="Q11" s="45"/>
      <c r="R11" s="45"/>
    </row>
    <row r="12" spans="1:18" ht="22" customHeight="1" x14ac:dyDescent="0.2">
      <c r="A12" s="85" t="s">
        <v>142</v>
      </c>
      <c r="B12" s="86">
        <v>1715401795</v>
      </c>
      <c r="C12" s="86">
        <v>1695114344</v>
      </c>
      <c r="D12" s="86">
        <v>2780462851</v>
      </c>
      <c r="E12" s="86">
        <v>3593421491</v>
      </c>
      <c r="F12" s="94">
        <f>4030000000*$K$8</f>
        <v>4349176000</v>
      </c>
      <c r="G12" s="86">
        <f>4468000000*$K$8</f>
        <v>4821865600</v>
      </c>
      <c r="H12" s="86">
        <f>4887000000*$K$8</f>
        <v>5274050400</v>
      </c>
      <c r="I12" s="86">
        <f>5129000000*$K$8</f>
        <v>5535216800</v>
      </c>
      <c r="J12" s="87">
        <f>5141000000*$K$8</f>
        <v>5548167200</v>
      </c>
      <c r="K12" s="95" t="s">
        <v>237</v>
      </c>
      <c r="L12" s="84"/>
      <c r="M12" s="84"/>
      <c r="N12" s="57" t="s">
        <v>238</v>
      </c>
      <c r="O12" s="93">
        <f>O8*(1-O11)</f>
        <v>-3.1461980397181274E-2</v>
      </c>
      <c r="P12" s="45"/>
      <c r="Q12" s="45"/>
      <c r="R12" s="45"/>
    </row>
    <row r="13" spans="1:18" ht="22" customHeight="1" x14ac:dyDescent="0.2">
      <c r="A13" s="89"/>
      <c r="B13" s="90"/>
      <c r="C13" s="90">
        <f t="shared" ref="C13:J13" si="1">(C12/B12)-1</f>
        <v>-1.1826646712818634E-2</v>
      </c>
      <c r="D13" s="90">
        <f t="shared" si="1"/>
        <v>0.64028040989782342</v>
      </c>
      <c r="E13" s="90">
        <f t="shared" si="1"/>
        <v>0.29238248578204074</v>
      </c>
      <c r="F13" s="91">
        <f t="shared" si="1"/>
        <v>0.21031613210218869</v>
      </c>
      <c r="G13" s="90">
        <f t="shared" si="1"/>
        <v>0.10868486352357309</v>
      </c>
      <c r="H13" s="90">
        <f t="shared" si="1"/>
        <v>9.3777976723366185E-2</v>
      </c>
      <c r="I13" s="90">
        <f t="shared" si="1"/>
        <v>4.9519132392060516E-2</v>
      </c>
      <c r="J13" s="92">
        <f t="shared" si="1"/>
        <v>2.3396373562096784E-3</v>
      </c>
      <c r="K13" s="92">
        <f>SUM(F13:J13)/5</f>
        <v>9.292754841947963E-2</v>
      </c>
      <c r="L13" s="84"/>
      <c r="M13" s="84"/>
      <c r="N13" s="122" t="s">
        <v>239</v>
      </c>
      <c r="O13" s="123"/>
      <c r="P13" s="45"/>
      <c r="Q13" s="45"/>
      <c r="R13" s="45"/>
    </row>
    <row r="14" spans="1:18" ht="22" customHeight="1" x14ac:dyDescent="0.2">
      <c r="A14" s="96" t="s">
        <v>240</v>
      </c>
      <c r="B14" s="97">
        <f>B12/B10</f>
        <v>0.22201237760393683</v>
      </c>
      <c r="C14" s="97">
        <f t="shared" ref="C14:J14" si="2">C12/C10</f>
        <v>0.21682787119227748</v>
      </c>
      <c r="D14" s="97">
        <f t="shared" si="2"/>
        <v>0.27221108884988154</v>
      </c>
      <c r="E14" s="97">
        <f t="shared" si="2"/>
        <v>0.29023360057772901</v>
      </c>
      <c r="F14" s="98">
        <f t="shared" si="2"/>
        <v>0.30072382658010594</v>
      </c>
      <c r="G14" s="97">
        <f t="shared" si="2"/>
        <v>0.29856331440026729</v>
      </c>
      <c r="H14" s="97">
        <f t="shared" si="2"/>
        <v>0.29532269760696156</v>
      </c>
      <c r="I14" s="97">
        <f t="shared" si="2"/>
        <v>0.27958571817934041</v>
      </c>
      <c r="J14" s="99">
        <f t="shared" si="2"/>
        <v>0.26030379746835441</v>
      </c>
      <c r="K14" s="99"/>
      <c r="L14" s="84"/>
      <c r="M14" s="84"/>
      <c r="N14" s="57" t="s">
        <v>241</v>
      </c>
      <c r="O14" s="93">
        <f>'[1]US Treasury Bonds'!$C$8</f>
        <v>4.1210000000000004E-2</v>
      </c>
      <c r="P14" s="45"/>
      <c r="Q14" s="45"/>
      <c r="R14" s="45"/>
    </row>
    <row r="15" spans="1:18" ht="22" customHeight="1" x14ac:dyDescent="0.2">
      <c r="A15" s="85" t="s">
        <v>185</v>
      </c>
      <c r="B15" s="86">
        <v>2361319429</v>
      </c>
      <c r="C15" s="86">
        <v>2036892990</v>
      </c>
      <c r="D15" s="86">
        <v>3897815895</v>
      </c>
      <c r="E15" s="86">
        <v>4498333181</v>
      </c>
      <c r="F15" s="94">
        <f>3600000000*$K$8</f>
        <v>3885120000</v>
      </c>
      <c r="G15" s="86">
        <f>4300000000*$K$8</f>
        <v>4640560000</v>
      </c>
      <c r="H15" s="86">
        <f>4860000000*$K$8</f>
        <v>5244912000</v>
      </c>
      <c r="I15" s="86">
        <f>5160000000*$K$8</f>
        <v>5568672000</v>
      </c>
      <c r="J15" s="87">
        <f>5300000000*$K$8</f>
        <v>5719760000</v>
      </c>
      <c r="K15" s="95" t="s">
        <v>242</v>
      </c>
      <c r="L15" s="84"/>
      <c r="M15" s="84"/>
      <c r="N15" s="57" t="s">
        <v>243</v>
      </c>
      <c r="O15" s="100" cm="1">
        <f t="array" ref="O15">_FV(A1,"Beta")</f>
        <v>0.73209999999999997</v>
      </c>
      <c r="P15" s="45"/>
      <c r="Q15" s="45"/>
      <c r="R15" s="45"/>
    </row>
    <row r="16" spans="1:18" ht="22" customHeight="1" x14ac:dyDescent="0.2">
      <c r="A16" s="101"/>
      <c r="B16" s="90"/>
      <c r="C16" s="90">
        <f t="shared" ref="C16:J16" si="3">(C15/B15)-1</f>
        <v>-0.13739201694426917</v>
      </c>
      <c r="D16" s="90">
        <f t="shared" si="3"/>
        <v>0.91360857646233051</v>
      </c>
      <c r="E16" s="90">
        <f t="shared" si="3"/>
        <v>0.15406507187020435</v>
      </c>
      <c r="F16" s="91">
        <f t="shared" si="3"/>
        <v>-0.13632008931443351</v>
      </c>
      <c r="G16" s="90">
        <f t="shared" si="3"/>
        <v>0.19444444444444442</v>
      </c>
      <c r="H16" s="90">
        <f t="shared" si="3"/>
        <v>0.13023255813953494</v>
      </c>
      <c r="I16" s="90">
        <f t="shared" si="3"/>
        <v>6.1728395061728447E-2</v>
      </c>
      <c r="J16" s="92">
        <f t="shared" si="3"/>
        <v>2.7131782945736482E-2</v>
      </c>
      <c r="K16" s="92">
        <f>SUM(F16:J16)/5</f>
        <v>5.5443418255402152E-2</v>
      </c>
      <c r="L16" s="84"/>
      <c r="M16" s="84"/>
      <c r="N16" s="57" t="s">
        <v>244</v>
      </c>
      <c r="O16" s="93">
        <v>8.4000000000000005E-2</v>
      </c>
      <c r="P16" s="45"/>
      <c r="Q16" s="45"/>
      <c r="R16" s="45"/>
    </row>
    <row r="17" spans="1:18" ht="22" customHeight="1" x14ac:dyDescent="0.2">
      <c r="A17" s="96" t="s">
        <v>200</v>
      </c>
      <c r="B17" s="97">
        <f>B15/B10</f>
        <v>0.30560894960160662</v>
      </c>
      <c r="C17" s="97">
        <f t="shared" ref="C17:J17" si="4">C15/C10</f>
        <v>0.26054594631415195</v>
      </c>
      <c r="D17" s="97">
        <f t="shared" si="4"/>
        <v>0.38160146917004273</v>
      </c>
      <c r="E17" s="99">
        <f t="shared" si="4"/>
        <v>0.36332154159755348</v>
      </c>
      <c r="F17" s="97">
        <f t="shared" si="4"/>
        <v>0.26863666890530558</v>
      </c>
      <c r="G17" s="97">
        <f t="shared" si="4"/>
        <v>0.28733711994654193</v>
      </c>
      <c r="H17" s="97">
        <f t="shared" si="4"/>
        <v>0.29369108049311093</v>
      </c>
      <c r="I17" s="97">
        <f t="shared" si="4"/>
        <v>0.2812755519215045</v>
      </c>
      <c r="J17" s="99">
        <f t="shared" si="4"/>
        <v>0.26835443037974682</v>
      </c>
      <c r="K17" s="99"/>
      <c r="L17" s="84"/>
      <c r="M17" s="84"/>
      <c r="N17" s="102" t="s">
        <v>239</v>
      </c>
      <c r="O17" s="103">
        <f>(O14)+((O15)*(O16-O14))</f>
        <v>7.2536559E-2</v>
      </c>
      <c r="P17" s="45"/>
      <c r="Q17" s="45"/>
      <c r="R17" s="45"/>
    </row>
    <row r="18" spans="1:18" ht="22" customHeight="1" x14ac:dyDescent="0.2">
      <c r="A18" s="104" t="s">
        <v>196</v>
      </c>
      <c r="B18" s="105">
        <v>0.17876993716035414</v>
      </c>
      <c r="C18" s="105">
        <v>0.13762237004613126</v>
      </c>
      <c r="D18" s="105">
        <v>0.19442041524329723</v>
      </c>
      <c r="E18" s="105">
        <v>0.2066186556816644</v>
      </c>
      <c r="F18" s="106"/>
      <c r="G18" s="105"/>
      <c r="H18" s="105"/>
      <c r="I18" s="105"/>
      <c r="J18" s="107"/>
      <c r="K18" s="108"/>
      <c r="L18" s="84"/>
      <c r="M18" s="84"/>
      <c r="N18" s="122" t="s">
        <v>245</v>
      </c>
      <c r="O18" s="123"/>
      <c r="P18" s="45"/>
      <c r="Q18" s="45"/>
      <c r="R18" s="45"/>
    </row>
    <row r="19" spans="1:18" ht="22" customHeight="1" x14ac:dyDescent="0.2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57" t="s">
        <v>223</v>
      </c>
      <c r="O19" s="109">
        <f>O6+O7</f>
        <v>2168908676</v>
      </c>
      <c r="P19" s="45"/>
      <c r="Q19" s="45"/>
      <c r="R19" s="45"/>
    </row>
    <row r="20" spans="1:18" ht="22" customHeight="1" x14ac:dyDescent="0.2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57" t="s">
        <v>201</v>
      </c>
      <c r="O20" s="109">
        <f>A3</f>
        <v>225855839360</v>
      </c>
      <c r="P20" s="45"/>
      <c r="Q20" s="45"/>
      <c r="R20" s="45"/>
    </row>
    <row r="21" spans="1:18" ht="22" customHeight="1" x14ac:dyDescent="0.2">
      <c r="A21" s="124" t="str" cm="1">
        <f t="array" ref="A21">_FV(A1,"Industry")</f>
        <v>Textiles &amp; Apparel</v>
      </c>
      <c r="B21" s="124"/>
      <c r="C21" s="124"/>
      <c r="D21" s="125" cm="1">
        <f t="array" ref="D21">_FV(A1,"Year incorporated",TRUE)</f>
        <v>1957</v>
      </c>
      <c r="E21" s="125"/>
      <c r="F21" s="84"/>
      <c r="G21" s="84"/>
      <c r="H21" s="84"/>
      <c r="I21" s="84"/>
      <c r="J21" s="84"/>
      <c r="K21" s="84"/>
      <c r="M21" s="84"/>
      <c r="N21" s="57" t="s">
        <v>246</v>
      </c>
      <c r="O21" s="109">
        <f>O19+O20</f>
        <v>228024748036</v>
      </c>
      <c r="P21" s="45"/>
      <c r="Q21" s="45"/>
      <c r="R21" s="45"/>
    </row>
    <row r="22" spans="1:18" ht="22" customHeight="1" x14ac:dyDescent="0.2">
      <c r="A22" s="114" t="str" cm="1">
        <f t="array" ref="A22">_FV(A1,"Description")</f>
    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  </c>
      <c r="B22" s="114"/>
      <c r="C22" s="114"/>
      <c r="D22" s="114"/>
      <c r="E22" s="114"/>
      <c r="F22" s="84"/>
      <c r="G22" s="84"/>
      <c r="H22" s="84"/>
      <c r="I22" s="84"/>
      <c r="J22" s="84"/>
      <c r="K22" s="84"/>
      <c r="L22" s="84"/>
      <c r="M22" s="84"/>
      <c r="N22" s="76" t="s">
        <v>247</v>
      </c>
      <c r="O22" s="110">
        <f>(O19/O21)</f>
        <v>9.5117249100416853E-3</v>
      </c>
      <c r="P22" s="45"/>
      <c r="Q22" s="45"/>
      <c r="R22" s="45"/>
    </row>
    <row r="23" spans="1:18" ht="22" customHeight="1" x14ac:dyDescent="0.2">
      <c r="A23" s="114"/>
      <c r="B23" s="114"/>
      <c r="C23" s="114"/>
      <c r="D23" s="114"/>
      <c r="E23" s="114"/>
      <c r="F23" s="84"/>
      <c r="G23" s="84"/>
      <c r="H23" s="84"/>
      <c r="I23" s="84"/>
      <c r="J23" s="84"/>
      <c r="K23" s="84"/>
      <c r="L23" s="84"/>
      <c r="M23" s="84"/>
      <c r="N23" s="102" t="s">
        <v>248</v>
      </c>
      <c r="O23" s="111">
        <f>O20/O21</f>
        <v>0.99048827508995829</v>
      </c>
      <c r="P23" s="45"/>
      <c r="Q23" s="45"/>
      <c r="R23" s="45"/>
    </row>
    <row r="24" spans="1:18" ht="22" customHeight="1" x14ac:dyDescent="0.2">
      <c r="A24" s="114"/>
      <c r="B24" s="114"/>
      <c r="C24" s="114"/>
      <c r="D24" s="114"/>
      <c r="E24" s="114"/>
      <c r="F24" s="84"/>
      <c r="G24" s="84"/>
      <c r="H24" s="84"/>
      <c r="I24" s="84"/>
      <c r="J24" s="84"/>
      <c r="K24" s="84"/>
      <c r="L24" s="84"/>
      <c r="M24" s="84"/>
      <c r="N24" s="115" t="s">
        <v>249</v>
      </c>
      <c r="O24" s="116"/>
      <c r="P24" s="45"/>
      <c r="Q24" s="45"/>
      <c r="R24" s="45"/>
    </row>
    <row r="25" spans="1:18" ht="22" customHeight="1" x14ac:dyDescent="0.2">
      <c r="A25" s="114"/>
      <c r="B25" s="114"/>
      <c r="C25" s="114"/>
      <c r="D25" s="114"/>
      <c r="E25" s="114"/>
      <c r="F25" s="84"/>
      <c r="G25" s="84"/>
      <c r="H25" s="84"/>
      <c r="I25" s="84"/>
      <c r="J25" s="84"/>
      <c r="K25" s="84"/>
      <c r="L25" s="84"/>
      <c r="M25" s="84"/>
      <c r="N25" s="117">
        <f>(O22*O12)+(O23*O17)</f>
        <v>7.154735350220788E-2</v>
      </c>
      <c r="O25" s="118"/>
      <c r="P25" s="45"/>
      <c r="Q25" s="45"/>
      <c r="R25" s="45"/>
    </row>
    <row r="26" spans="1:18" ht="22" customHeight="1" x14ac:dyDescent="0.2">
      <c r="A26" s="114"/>
      <c r="B26" s="114"/>
      <c r="C26" s="114"/>
      <c r="D26" s="114"/>
      <c r="E26" s="114"/>
      <c r="F26" s="84"/>
      <c r="G26" s="84"/>
      <c r="H26" s="84"/>
      <c r="I26" s="113"/>
      <c r="J26" s="84"/>
      <c r="K26" s="84"/>
      <c r="L26" s="84"/>
      <c r="M26" s="84"/>
      <c r="N26" s="84"/>
      <c r="O26" s="45"/>
      <c r="P26" s="45"/>
      <c r="Q26" s="45"/>
      <c r="R26" s="45"/>
    </row>
    <row r="27" spans="1:18" ht="22" customHeight="1" x14ac:dyDescent="0.2">
      <c r="A27" s="114"/>
      <c r="B27" s="114"/>
      <c r="C27" s="114"/>
      <c r="D27" s="114"/>
      <c r="E27" s="114"/>
      <c r="F27" s="84"/>
      <c r="G27" s="84"/>
      <c r="H27" s="84"/>
      <c r="I27" s="84"/>
      <c r="J27" s="84"/>
      <c r="K27" s="84"/>
      <c r="L27" s="84"/>
      <c r="M27" s="84"/>
      <c r="N27" s="84"/>
      <c r="O27" s="45"/>
      <c r="P27" s="45"/>
      <c r="Q27" s="45"/>
      <c r="R27" s="45"/>
    </row>
    <row r="28" spans="1:18" ht="22" customHeight="1" x14ac:dyDescent="0.2">
      <c r="A28" s="114"/>
      <c r="B28" s="114"/>
      <c r="C28" s="114"/>
      <c r="D28" s="114"/>
      <c r="E28" s="114"/>
      <c r="F28" s="84"/>
      <c r="G28" s="84"/>
      <c r="H28" s="84"/>
      <c r="I28" s="84"/>
      <c r="J28" s="84"/>
      <c r="K28" s="84"/>
      <c r="L28" s="84"/>
      <c r="M28" s="84"/>
      <c r="N28" s="84"/>
      <c r="O28" s="45"/>
      <c r="P28" s="45"/>
      <c r="Q28" s="45"/>
      <c r="R28" s="45"/>
    </row>
    <row r="29" spans="1:18" ht="22" customHeight="1" x14ac:dyDescent="0.2">
      <c r="A29" s="114"/>
      <c r="B29" s="114"/>
      <c r="C29" s="114"/>
      <c r="D29" s="114"/>
      <c r="E29" s="114"/>
      <c r="F29" s="84"/>
      <c r="G29" s="84"/>
      <c r="H29" s="84"/>
      <c r="I29" s="84"/>
      <c r="J29" s="84"/>
      <c r="K29" s="84"/>
      <c r="L29" s="84"/>
      <c r="M29" s="84"/>
      <c r="N29" s="84"/>
      <c r="O29" s="45"/>
      <c r="P29" s="45"/>
      <c r="Q29" s="45"/>
      <c r="R29" s="45"/>
    </row>
    <row r="30" spans="1:18" ht="22" customHeight="1" x14ac:dyDescent="0.2">
      <c r="A30" s="114"/>
      <c r="B30" s="114"/>
      <c r="C30" s="114"/>
      <c r="D30" s="114"/>
      <c r="E30" s="114"/>
      <c r="F30" s="84"/>
      <c r="G30" s="84"/>
      <c r="H30" s="84"/>
      <c r="I30" s="84"/>
      <c r="J30" s="84"/>
      <c r="K30" s="84"/>
      <c r="L30" s="84"/>
      <c r="M30" s="84"/>
      <c r="N30" s="84"/>
      <c r="O30" s="45"/>
      <c r="P30" s="45"/>
      <c r="Q30" s="45"/>
      <c r="R30" s="45"/>
    </row>
    <row r="31" spans="1:18" x14ac:dyDescent="0.2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</row>
    <row r="32" spans="1:18" x14ac:dyDescent="0.2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2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45"/>
      <c r="R33" s="45"/>
    </row>
    <row r="34" spans="1:18" x14ac:dyDescent="0.2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45"/>
      <c r="R34" s="45"/>
    </row>
    <row r="35" spans="1:18" x14ac:dyDescent="0.2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45"/>
      <c r="R35" s="45"/>
    </row>
    <row r="36" spans="1:18" x14ac:dyDescent="0.2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45"/>
      <c r="R36" s="45"/>
    </row>
    <row r="37" spans="1:18" x14ac:dyDescent="0.2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45"/>
      <c r="R37" s="45"/>
    </row>
    <row r="38" spans="1:18" x14ac:dyDescent="0.2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45"/>
      <c r="R38" s="45"/>
    </row>
    <row r="39" spans="1:18" x14ac:dyDescent="0.2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45"/>
      <c r="R39" s="45"/>
    </row>
    <row r="40" spans="1:18" x14ac:dyDescent="0.2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45"/>
      <c r="R40" s="45"/>
    </row>
    <row r="41" spans="1:18" x14ac:dyDescent="0.2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45"/>
      <c r="R41" s="45"/>
    </row>
    <row r="42" spans="1:18" x14ac:dyDescent="0.2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45"/>
      <c r="R42" s="45"/>
    </row>
    <row r="43" spans="1:18" x14ac:dyDescent="0.2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45"/>
      <c r="R43" s="45"/>
    </row>
    <row r="44" spans="1:18" x14ac:dyDescent="0.2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45"/>
      <c r="R44" s="45"/>
    </row>
    <row r="45" spans="1:18" x14ac:dyDescent="0.2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45"/>
      <c r="R45" s="45"/>
    </row>
    <row r="46" spans="1:18" x14ac:dyDescent="0.2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45"/>
      <c r="R46" s="45"/>
    </row>
    <row r="47" spans="1:18" x14ac:dyDescent="0.2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45"/>
      <c r="R47" s="45"/>
    </row>
    <row r="48" spans="1:18" x14ac:dyDescent="0.2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45"/>
      <c r="R48" s="45"/>
    </row>
    <row r="49" spans="1:18" x14ac:dyDescent="0.2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45"/>
      <c r="R49" s="45"/>
    </row>
    <row r="50" spans="1:18" x14ac:dyDescent="0.2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45"/>
      <c r="R50" s="45"/>
    </row>
    <row r="51" spans="1:18" x14ac:dyDescent="0.2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45"/>
      <c r="R51" s="45"/>
    </row>
    <row r="52" spans="1:18" x14ac:dyDescent="0.2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45"/>
      <c r="R52" s="45"/>
    </row>
    <row r="53" spans="1:18" x14ac:dyDescent="0.2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45"/>
      <c r="R53" s="45"/>
    </row>
    <row r="54" spans="1:18" x14ac:dyDescent="0.2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45"/>
      <c r="R54" s="45"/>
    </row>
    <row r="55" spans="1:18" x14ac:dyDescent="0.2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45"/>
      <c r="R55" s="45"/>
    </row>
    <row r="56" spans="1:18" x14ac:dyDescent="0.2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45"/>
      <c r="R56" s="45"/>
    </row>
    <row r="57" spans="1:18" x14ac:dyDescent="0.2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45"/>
      <c r="R57" s="45"/>
    </row>
    <row r="58" spans="1:18" x14ac:dyDescent="0.2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45"/>
      <c r="R58" s="45"/>
    </row>
    <row r="59" spans="1:18" x14ac:dyDescent="0.2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45"/>
      <c r="R59" s="45"/>
    </row>
    <row r="60" spans="1:18" x14ac:dyDescent="0.2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45"/>
      <c r="R60" s="45"/>
    </row>
    <row r="61" spans="1:18" x14ac:dyDescent="0.2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45"/>
      <c r="R61" s="45"/>
    </row>
    <row r="62" spans="1:18" x14ac:dyDescent="0.2">
      <c r="O62" s="45"/>
      <c r="P62" s="45"/>
      <c r="Q62" s="45"/>
      <c r="R62" s="45"/>
    </row>
    <row r="63" spans="1:18" x14ac:dyDescent="0.2">
      <c r="O63" s="45"/>
      <c r="P63" s="45"/>
    </row>
    <row r="64" spans="1:18" x14ac:dyDescent="0.2">
      <c r="O64" s="45"/>
      <c r="P64" s="45"/>
    </row>
    <row r="65" spans="15:16" x14ac:dyDescent="0.2">
      <c r="O65" s="45"/>
      <c r="P65" s="45"/>
    </row>
    <row r="66" spans="15:16" x14ac:dyDescent="0.2">
      <c r="O66" s="45"/>
      <c r="P66" s="45"/>
    </row>
    <row r="67" spans="15:16" x14ac:dyDescent="0.2">
      <c r="O67" s="45"/>
      <c r="P67" s="45"/>
    </row>
    <row r="68" spans="15:16" x14ac:dyDescent="0.2">
      <c r="O68" s="45"/>
      <c r="P68" s="45"/>
    </row>
    <row r="69" spans="15:16" x14ac:dyDescent="0.2">
      <c r="O69" s="45"/>
      <c r="P69" s="45"/>
    </row>
    <row r="70" spans="15:16" x14ac:dyDescent="0.2">
      <c r="O70" s="45"/>
      <c r="P70" s="45"/>
    </row>
    <row r="71" spans="15:16" x14ac:dyDescent="0.2">
      <c r="O71" s="45"/>
      <c r="P71" s="45"/>
    </row>
    <row r="72" spans="15:16" x14ac:dyDescent="0.2">
      <c r="O72" s="45"/>
      <c r="P72" s="45"/>
    </row>
    <row r="73" spans="15:16" x14ac:dyDescent="0.2">
      <c r="O73" s="45"/>
      <c r="P73" s="45"/>
    </row>
    <row r="74" spans="15:16" x14ac:dyDescent="0.2">
      <c r="O74" s="45"/>
      <c r="P74" s="45"/>
    </row>
    <row r="75" spans="15:16" x14ac:dyDescent="0.2">
      <c r="O75" s="45"/>
      <c r="P75" s="45"/>
    </row>
    <row r="76" spans="15:16" x14ac:dyDescent="0.2">
      <c r="O76" s="45"/>
      <c r="P76" s="45"/>
    </row>
    <row r="77" spans="15:16" x14ac:dyDescent="0.2">
      <c r="O77" s="45"/>
      <c r="P77" s="45"/>
    </row>
    <row r="78" spans="15:16" x14ac:dyDescent="0.2">
      <c r="O78" s="45"/>
      <c r="P78" s="45"/>
    </row>
    <row r="79" spans="15:16" x14ac:dyDescent="0.2">
      <c r="O79" s="45"/>
      <c r="P79" s="45"/>
    </row>
    <row r="80" spans="15:16" x14ac:dyDescent="0.2">
      <c r="O80" s="45"/>
      <c r="P80" s="45"/>
    </row>
    <row r="81" spans="15:16" x14ac:dyDescent="0.2">
      <c r="O81" s="45"/>
      <c r="P81" s="45"/>
    </row>
    <row r="82" spans="15:16" x14ac:dyDescent="0.2">
      <c r="O82" s="45"/>
      <c r="P82" s="45"/>
    </row>
    <row r="83" spans="15:16" x14ac:dyDescent="0.2">
      <c r="O83" s="45"/>
      <c r="P83" s="45"/>
    </row>
    <row r="84" spans="15:16" x14ac:dyDescent="0.2">
      <c r="O84" s="45"/>
      <c r="P84" s="45"/>
    </row>
    <row r="85" spans="15:16" x14ac:dyDescent="0.2">
      <c r="O85" s="45"/>
      <c r="P85" s="45"/>
    </row>
    <row r="86" spans="15:16" x14ac:dyDescent="0.2">
      <c r="O86" s="45"/>
      <c r="P86" s="45"/>
    </row>
    <row r="87" spans="15:16" x14ac:dyDescent="0.2">
      <c r="O87" s="45"/>
      <c r="P87" s="45"/>
    </row>
    <row r="88" spans="15:16" x14ac:dyDescent="0.2">
      <c r="O88" s="45"/>
      <c r="P88" s="45"/>
    </row>
    <row r="89" spans="15:16" x14ac:dyDescent="0.2">
      <c r="O89" s="45"/>
      <c r="P89" s="45"/>
    </row>
    <row r="90" spans="15:16" x14ac:dyDescent="0.2">
      <c r="O90" s="45"/>
      <c r="P90" s="45"/>
    </row>
    <row r="91" spans="15:16" x14ac:dyDescent="0.2">
      <c r="O91" s="45"/>
      <c r="P91" s="45"/>
    </row>
    <row r="92" spans="15:16" x14ac:dyDescent="0.2">
      <c r="O92" s="45"/>
      <c r="P92" s="45"/>
    </row>
    <row r="93" spans="15:16" x14ac:dyDescent="0.2">
      <c r="O93" s="45"/>
      <c r="P93" s="45"/>
    </row>
    <row r="94" spans="15:16" x14ac:dyDescent="0.2">
      <c r="O94" s="45"/>
      <c r="P94" s="45"/>
    </row>
    <row r="95" spans="15:16" x14ac:dyDescent="0.2">
      <c r="O95" s="45"/>
      <c r="P95" s="45"/>
    </row>
    <row r="96" spans="15:16" x14ac:dyDescent="0.2">
      <c r="O96" s="45"/>
      <c r="P96" s="45"/>
    </row>
    <row r="97" spans="15:16" x14ac:dyDescent="0.2">
      <c r="O97" s="45"/>
      <c r="P97" s="45"/>
    </row>
    <row r="98" spans="15:16" x14ac:dyDescent="0.2">
      <c r="O98" s="45"/>
      <c r="P98" s="45"/>
    </row>
    <row r="99" spans="15:16" x14ac:dyDescent="0.2">
      <c r="O99" s="45"/>
      <c r="P99" s="45"/>
    </row>
    <row r="100" spans="15:16" x14ac:dyDescent="0.2">
      <c r="O100" s="45"/>
      <c r="P100" s="45"/>
    </row>
    <row r="101" spans="15:16" x14ac:dyDescent="0.2">
      <c r="O101" s="45"/>
      <c r="P101" s="45"/>
    </row>
    <row r="102" spans="15:16" x14ac:dyDescent="0.2">
      <c r="O102" s="45"/>
      <c r="P102" s="45"/>
    </row>
    <row r="103" spans="15:16" x14ac:dyDescent="0.2">
      <c r="O103" s="45"/>
      <c r="P103" s="45"/>
    </row>
    <row r="104" spans="15:16" x14ac:dyDescent="0.2">
      <c r="O104" s="45"/>
      <c r="P104" s="45"/>
    </row>
    <row r="105" spans="15:16" x14ac:dyDescent="0.2">
      <c r="O105" s="45"/>
      <c r="P105" s="45"/>
    </row>
    <row r="106" spans="15:16" x14ac:dyDescent="0.2">
      <c r="O106" s="45"/>
      <c r="P106" s="45"/>
    </row>
    <row r="107" spans="15:16" x14ac:dyDescent="0.2">
      <c r="O107" s="45"/>
      <c r="P107" s="45"/>
    </row>
    <row r="108" spans="15:16" x14ac:dyDescent="0.2">
      <c r="O108" s="45"/>
      <c r="P108" s="45"/>
    </row>
    <row r="109" spans="15:16" x14ac:dyDescent="0.2">
      <c r="O109" s="45"/>
      <c r="P109" s="45"/>
    </row>
    <row r="110" spans="15:16" x14ac:dyDescent="0.2">
      <c r="O110" s="45"/>
      <c r="P110" s="45"/>
    </row>
  </sheetData>
  <mergeCells count="10">
    <mergeCell ref="A22:E30"/>
    <mergeCell ref="N24:O24"/>
    <mergeCell ref="N25:O25"/>
    <mergeCell ref="A1:XFD2"/>
    <mergeCell ref="N3:O3"/>
    <mergeCell ref="N4:O4"/>
    <mergeCell ref="N13:O13"/>
    <mergeCell ref="N18:O18"/>
    <mergeCell ref="A21:C21"/>
    <mergeCell ref="D21:E21"/>
  </mergeCells>
  <hyperlinks>
    <hyperlink ref="F9" r:id="rId1" display="https://finbox.com/ENXTPA:RMS/explorer/revenue_proj" xr:uid="{24704EFB-825F-E447-A7AD-92E7064EF451}"/>
  </hyperlinks>
  <pageMargins left="0.7" right="0.7" top="0.75" bottom="0.75" header="0.3" footer="0.3"/>
  <ignoredErrors>
    <ignoredError sqref="F12:J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2023-12-09T12:12:50Z</dcterms:modified>
</cp:coreProperties>
</file>