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6178340D-1AEE-AC4E-80D8-CAB6234B332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O10" i="2"/>
  <c r="O9" i="2"/>
  <c r="O7" i="2"/>
  <c r="G7" i="2"/>
  <c r="E7" i="2"/>
  <c r="O6" i="2"/>
  <c r="O8" i="2" s="1"/>
  <c r="O12" i="2" s="1"/>
  <c r="G6" i="2"/>
  <c r="E6" i="2"/>
  <c r="O5" i="2"/>
  <c r="G5" i="2"/>
  <c r="C4" i="2"/>
  <c r="A4" i="2"/>
  <c r="C3" i="2"/>
  <c r="A22" i="2" a="1"/>
  <c r="A22" i="2" s="1"/>
  <c r="C21" i="2" a="1"/>
  <c r="C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I16" i="2"/>
  <c r="H16" i="2"/>
  <c r="G16" i="2"/>
  <c r="F16" i="2"/>
  <c r="E16" i="2"/>
  <c r="D16" i="2"/>
  <c r="C16" i="2"/>
  <c r="O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J11" i="2"/>
  <c r="I11" i="2"/>
  <c r="H11" i="2"/>
  <c r="G11" i="2"/>
  <c r="F11" i="2"/>
  <c r="E11" i="2"/>
  <c r="D11" i="2"/>
  <c r="C11" i="2"/>
  <c r="E3" i="2" s="1"/>
  <c r="O11" i="2"/>
  <c r="K5" i="2" a="1"/>
  <c r="K5" i="2" s="1"/>
  <c r="C5" i="2"/>
  <c r="A5" i="2" a="1"/>
  <c r="A5" i="2" s="1"/>
  <c r="K4" i="2" a="1"/>
  <c r="K4" i="2" s="1"/>
  <c r="A3" i="2" a="1"/>
  <c r="A3" i="2" s="1"/>
  <c r="K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3" i="2" l="1"/>
  <c r="K11" i="2"/>
  <c r="K16" i="2"/>
  <c r="E5" i="2"/>
  <c r="E4" i="2"/>
  <c r="G4" i="2"/>
  <c r="O19" i="2"/>
  <c r="O20" i="2"/>
  <c r="O21" i="2" s="1"/>
  <c r="O22" i="2" s="1"/>
  <c r="C7" i="2"/>
  <c r="O23" i="2" l="1"/>
  <c r="A6" i="2"/>
  <c r="A7" i="2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<sst xmlns="http://schemas.openxmlformats.org/spreadsheetml/2006/main" count="1527" uniqueCount="253">
  <si>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</si>
  <si>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</si>
  <si>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</si>
  <si>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</si>
  <si>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</si>
  <si>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</si>
  <si>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</si>
  <si>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</si>
  <si>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</si>
  <si>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</si>
  <si>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</si>
  <si>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</si>
  <si>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2023 Y</t>
  </si>
  <si>
    <t>TTM</t>
  </si>
  <si>
    <t>2023 Q3</t>
  </si>
  <si>
    <t>2023 Q4</t>
  </si>
  <si>
    <t>2024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</si>
  <si>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</si>
  <si>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</si>
  <si>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</si>
  <si>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</si>
  <si>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</si>
  <si>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</si>
  <si>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</si>
  <si>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</si>
  <si>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</si>
  <si>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</si>
  <si>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</si>
  <si>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</si>
  <si>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</si>
  <si>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</si>
  <si>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</si>
  <si>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</si>
  <si>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</si>
  <si>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</si>
  <si>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</si>
  <si>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</si>
  <si>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</si>
  <si>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</si>
  <si>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</si>
  <si>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</si>
  <si>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</si>
  <si>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</si>
  <si>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</si>
  <si>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</si>
  <si>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</si>
  <si>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</si>
  <si>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</si>
  <si>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</si>
  <si>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</si>
  <si>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</si>
  <si>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</si>
  <si>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</si>
  <si>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</si>
  <si>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</si>
  <si>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</si>
  <si>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</si>
  <si>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</si>
  <si>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</si>
  <si>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</si>
  <si>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</si>
  <si>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</si>
  <si>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</si>
  <si>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</si>
  <si>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</si>
  <si>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</si>
  <si>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</si>
  <si>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</si>
  <si>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</si>
  <si>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</si>
  <si>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</si>
  <si>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</si>
  <si>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</si>
  <si>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</si>
  <si>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</si>
  <si>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</si>
  <si>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</si>
  <si>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</si>
  <si>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</si>
  <si>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</si>
  <si>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</si>
  <si>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</si>
  <si>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</si>
  <si>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</si>
  <si>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</si>
  <si>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</si>
  <si>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</si>
  <si>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</si>
  <si>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</si>
  <si>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</si>
  <si>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</si>
  <si>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</si>
  <si>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</si>
  <si>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</si>
  <si>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</si>
  <si>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</si>
  <si>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</si>
  <si>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</si>
  <si>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</si>
  <si>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</si>
  <si>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</si>
  <si>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</si>
  <si>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</si>
  <si>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</si>
  <si>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</si>
  <si>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</si>
  <si>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</si>
  <si>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</si>
  <si>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</si>
  <si>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</si>
  <si>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</si>
  <si>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</si>
  <si>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</si>
  <si>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</si>
  <si>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</si>
  <si>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</si>
  <si>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</si>
  <si>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</si>
  <si>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</si>
  <si>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</si>
  <si>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</si>
  <si>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</si>
  <si>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</si>
  <si>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</si>
  <si>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</si>
  <si>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</si>
  <si>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</si>
  <si>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</si>
  <si>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</si>
  <si>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</si>
  <si>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</si>
  <si>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</si>
  <si>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</si>
  <si>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</si>
  <si>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</si>
  <si>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</si>
  <si>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</si>
  <si>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</si>
  <si>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</si>
  <si>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</si>
  <si>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</si>
  <si>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</si>
  <si>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</si>
  <si>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</si>
  <si>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</si>
  <si>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</si>
  <si>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</si>
  <si>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</si>
  <si>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</si>
  <si>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</si>
  <si>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</si>
  <si>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</si>
  <si>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</si>
  <si>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</si>
  <si>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</si>
  <si>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</si>
  <si>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</si>
  <si>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</si>
  <si>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</si>
  <si>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</si>
  <si>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</si>
  <si>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</si>
  <si>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</si>
  <si>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</si>
  <si>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</si>
  <si>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</si>
  <si>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</si>
  <si>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</si>
  <si>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</si>
  <si>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</si>
  <si>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</si>
  <si>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</si>
  <si>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</si>
  <si>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</si>
  <si>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</si>
  <si>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</si>
  <si>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</si>
  <si>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</si>
  <si>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</si>
  <si>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</si>
  <si>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</si>
  <si>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</si>
  <si>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</si>
  <si>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</si>
  <si>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</si>
  <si>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</si>
  <si>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</si>
  <si>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</si>
  <si>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</si>
  <si>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</si>
  <si>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>2024 Q1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</si>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</sst>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0" fontId="4" fillId="0" borderId="6" xfId="0" applyFont="1" applyBorder="1"/>
    <xf numFmtId="3" fontId="5" fillId="0" borderId="6" xfId="0" applyNumberFormat="1" applyFont="1" applyBorder="1"/>
    <xf numFmtId="3" fontId="6" fillId="4" borderId="6" xfId="0" applyNumberFormat="1" applyFont="1" applyFill="1" applyBorder="1"/>
    <xf numFmtId="4" fontId="7" fillId="0" borderId="6" xfId="0" applyNumberFormat="1" applyFont="1" applyBorder="1"/>
    <xf numFmtId="4" fontId="8" fillId="5" borderId="6" xfId="0" applyNumberFormat="1" applyFont="1" applyFill="1" applyBorder="1"/>
    <xf numFmtId="0" fontId="3" fillId="0" borderId="6" xfId="0" applyFont="1" applyBorder="1"/>
    <xf numFmtId="164" fontId="4" fillId="9" borderId="7" xfId="0" applyNumberFormat="1" applyFont="1" applyFill="1" applyBorder="1" applyAlignment="1">
      <alignment horizontal="right" vertical="center" indent="1"/>
    </xf>
    <xf numFmtId="9" fontId="12" fillId="10" borderId="8" xfId="1" applyFont="1" applyFill="1" applyBorder="1" applyAlignment="1">
      <alignment horizontal="left" vertical="center" indent="1"/>
    </xf>
    <xf numFmtId="9" fontId="4" fillId="9" borderId="9" xfId="1" applyFont="1" applyFill="1" applyBorder="1" applyAlignment="1">
      <alignment horizontal="right" vertical="center" indent="1"/>
    </xf>
    <xf numFmtId="0" fontId="12" fillId="10" borderId="8" xfId="1" applyNumberFormat="1" applyFont="1" applyFill="1" applyBorder="1" applyAlignment="1">
      <alignment horizontal="left" vertical="center" indent="1"/>
    </xf>
    <xf numFmtId="165" fontId="4" fillId="9" borderId="8" xfId="1" applyNumberFormat="1" applyFont="1" applyFill="1" applyBorder="1" applyAlignment="1">
      <alignment horizontal="right" vertical="center" indent="1"/>
    </xf>
    <xf numFmtId="164" fontId="4" fillId="9" borderId="9" xfId="0" applyNumberFormat="1" applyFont="1" applyFill="1" applyBorder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10" fontId="4" fillId="9" borderId="10" xfId="1" applyNumberFormat="1" applyFont="1" applyFill="1" applyBorder="1" applyAlignment="1">
      <alignment horizontal="right" vertical="center" indent="1"/>
    </xf>
    <xf numFmtId="0" fontId="12" fillId="10" borderId="11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4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164" fontId="4" fillId="9" borderId="15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6" xfId="1" applyNumberFormat="1" applyFont="1" applyFill="1" applyBorder="1" applyAlignment="1">
      <alignment horizontal="left" vertical="center" indent="1"/>
    </xf>
    <xf numFmtId="9" fontId="14" fillId="10" borderId="15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6" xfId="1" applyFont="1" applyFill="1" applyBorder="1" applyAlignment="1">
      <alignment horizontal="left" vertical="center" indent="1"/>
    </xf>
    <xf numFmtId="0" fontId="15" fillId="12" borderId="17" xfId="0" applyFont="1" applyFill="1" applyBorder="1" applyAlignment="1">
      <alignment horizontal="left" vertical="center" wrapText="1"/>
    </xf>
    <xf numFmtId="164" fontId="16" fillId="12" borderId="15" xfId="0" applyNumberFormat="1" applyFont="1" applyFill="1" applyBorder="1" applyAlignment="1">
      <alignment vertical="center"/>
    </xf>
    <xf numFmtId="167" fontId="4" fillId="9" borderId="14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16" xfId="1" applyFont="1" applyFill="1" applyBorder="1" applyAlignment="1">
      <alignment horizontal="left" vertical="center" indent="1"/>
    </xf>
    <xf numFmtId="167" fontId="4" fillId="9" borderId="18" xfId="0" applyNumberFormat="1" applyFont="1" applyFill="1" applyBorder="1" applyAlignment="1">
      <alignment horizontal="right" vertical="center" indent="1"/>
    </xf>
    <xf numFmtId="9" fontId="12" fillId="10" borderId="19" xfId="1" applyFont="1" applyFill="1" applyBorder="1" applyAlignment="1">
      <alignment horizontal="left" vertical="center" indent="1"/>
    </xf>
    <xf numFmtId="165" fontId="4" fillId="9" borderId="20" xfId="1" applyNumberFormat="1" applyFont="1" applyFill="1" applyBorder="1" applyAlignment="1">
      <alignment horizontal="right" vertical="center" indent="1"/>
    </xf>
    <xf numFmtId="9" fontId="4" fillId="9" borderId="20" xfId="1" applyFont="1" applyFill="1" applyBorder="1" applyAlignment="1">
      <alignment horizontal="right" vertical="center" indent="1"/>
    </xf>
    <xf numFmtId="2" fontId="4" fillId="9" borderId="19" xfId="0" applyNumberFormat="1" applyFont="1" applyFill="1" applyBorder="1" applyAlignment="1">
      <alignment horizontal="right" vertical="center" indent="1"/>
    </xf>
    <xf numFmtId="0" fontId="12" fillId="10" borderId="19" xfId="1" applyNumberFormat="1" applyFont="1" applyFill="1" applyBorder="1" applyAlignment="1">
      <alignment horizontal="left" vertical="center" indent="1"/>
    </xf>
    <xf numFmtId="165" fontId="4" fillId="14" borderId="20" xfId="1" applyNumberFormat="1" applyFont="1" applyFill="1" applyBorder="1" applyAlignment="1">
      <alignment horizontal="right" vertical="center" indent="1"/>
    </xf>
    <xf numFmtId="9" fontId="18" fillId="10" borderId="19" xfId="1" applyFont="1" applyFill="1" applyBorder="1" applyAlignment="1">
      <alignment horizontal="left" vertical="center" indent="1"/>
    </xf>
    <xf numFmtId="9" fontId="3" fillId="13" borderId="20" xfId="1" applyFont="1" applyFill="1" applyBorder="1" applyAlignment="1">
      <alignment horizontal="right" vertical="center" indent="1"/>
    </xf>
    <xf numFmtId="9" fontId="17" fillId="10" borderId="21" xfId="1" applyFont="1" applyFill="1" applyBorder="1" applyAlignment="1">
      <alignment horizontal="left" vertical="center" indent="1"/>
    </xf>
    <xf numFmtId="9" fontId="4" fillId="11" borderId="17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7" xfId="0" applyFont="1" applyFill="1" applyBorder="1" applyAlignment="1">
      <alignment horizontal="left" vertical="center" wrapText="1"/>
    </xf>
    <xf numFmtId="10" fontId="20" fillId="12" borderId="15" xfId="0" applyNumberFormat="1" applyFont="1" applyFill="1" applyBorder="1" applyAlignment="1">
      <alignment vertical="center"/>
    </xf>
    <xf numFmtId="0" fontId="3" fillId="9" borderId="22" xfId="0" applyFont="1" applyFill="1" applyBorder="1" applyAlignment="1">
      <alignment horizontal="right" vertical="center"/>
    </xf>
    <xf numFmtId="0" fontId="13" fillId="9" borderId="5" xfId="0" applyFont="1" applyFill="1" applyBorder="1" applyAlignment="1">
      <alignment horizontal="right" vertical="center" indent="1"/>
    </xf>
    <xf numFmtId="0" fontId="13" fillId="9" borderId="23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5" xfId="0" applyFont="1" applyFill="1" applyBorder="1" applyAlignment="1">
      <alignment horizontal="right" vertical="center" indent="1"/>
    </xf>
    <xf numFmtId="9" fontId="13" fillId="10" borderId="12" xfId="1" applyFont="1" applyFill="1" applyBorder="1" applyAlignment="1">
      <alignment horizontal="left" vertical="center" indent="2"/>
    </xf>
    <xf numFmtId="164" fontId="4" fillId="10" borderId="24" xfId="0" applyNumberFormat="1" applyFont="1" applyFill="1" applyBorder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25" xfId="0" applyNumberFormat="1" applyFont="1" applyFill="1" applyBorder="1" applyAlignment="1">
      <alignment horizontal="right" vertical="center"/>
    </xf>
    <xf numFmtId="9" fontId="23" fillId="12" borderId="17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7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10" fontId="16" fillId="12" borderId="15" xfId="0" applyNumberFormat="1" applyFont="1" applyFill="1" applyBorder="1" applyAlignment="1">
      <alignment vertical="center"/>
    </xf>
    <xf numFmtId="164" fontId="4" fillId="10" borderId="12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0" fontId="12" fillId="12" borderId="12" xfId="0" applyFont="1" applyFill="1" applyBorder="1" applyAlignment="1">
      <alignment horizontal="left" vertical="center" indent="2"/>
    </xf>
    <xf numFmtId="10" fontId="12" fillId="12" borderId="24" xfId="1" applyNumberFormat="1" applyFont="1" applyFill="1" applyBorder="1" applyAlignment="1">
      <alignment horizontal="right" vertical="center" indent="1"/>
    </xf>
    <xf numFmtId="10" fontId="12" fillId="12" borderId="12" xfId="1" applyNumberFormat="1" applyFont="1" applyFill="1" applyBorder="1" applyAlignment="1">
      <alignment horizontal="right" vertical="center" indent="1"/>
    </xf>
    <xf numFmtId="10" fontId="12" fillId="12" borderId="13" xfId="1" applyNumberFormat="1" applyFont="1" applyFill="1" applyBorder="1" applyAlignment="1">
      <alignment horizontal="right" vertical="center" indent="1"/>
    </xf>
    <xf numFmtId="2" fontId="16" fillId="12" borderId="15" xfId="0" applyNumberFormat="1" applyFont="1" applyFill="1" applyBorder="1" applyAlignment="1">
      <alignment vertical="center"/>
    </xf>
    <xf numFmtId="0" fontId="24" fillId="12" borderId="17" xfId="0" applyFont="1" applyFill="1" applyBorder="1" applyAlignment="1">
      <alignment horizontal="left" vertical="center" indent="1"/>
    </xf>
    <xf numFmtId="0" fontId="19" fillId="12" borderId="26" xfId="0" applyFont="1" applyFill="1" applyBorder="1" applyAlignment="1">
      <alignment horizontal="left" vertical="center" wrapText="1"/>
    </xf>
    <xf numFmtId="10" fontId="20" fillId="12" borderId="27" xfId="0" applyNumberFormat="1" applyFont="1" applyFill="1" applyBorder="1" applyAlignment="1">
      <alignment vertical="center"/>
    </xf>
    <xf numFmtId="9" fontId="13" fillId="10" borderId="26" xfId="1" applyFont="1" applyFill="1" applyBorder="1" applyAlignment="1">
      <alignment horizontal="left" vertical="center" indent="2"/>
    </xf>
    <xf numFmtId="9" fontId="4" fillId="10" borderId="28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164" fontId="16" fillId="12" borderId="15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5" xfId="0" applyNumberFormat="1" applyFont="1" applyFill="1" applyBorder="1" applyAlignment="1">
      <alignment horizontal="right" vertical="center"/>
    </xf>
    <xf numFmtId="10" fontId="20" fillId="12" borderId="27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6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10" fontId="13" fillId="9" borderId="27" xfId="1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9" fontId="13" fillId="12" borderId="12" xfId="1" applyFont="1" applyFill="1" applyBorder="1" applyAlignment="1">
      <alignment horizontal="center" vertical="center"/>
    </xf>
    <xf numFmtId="9" fontId="13" fillId="12" borderId="13" xfId="1" applyFont="1" applyFill="1" applyBorder="1" applyAlignment="1">
      <alignment horizontal="center" vertical="center"/>
    </xf>
    <xf numFmtId="9" fontId="4" fillId="10" borderId="12" xfId="1" applyFont="1" applyFill="1" applyBorder="1" applyAlignment="1">
      <alignment horizontal="center" vertical="center"/>
    </xf>
    <xf numFmtId="9" fontId="4" fillId="10" borderId="13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 wrapText="1" indent="3"/>
    </xf>
    <xf numFmtId="0" fontId="4" fillId="11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368.02</v>
    <v>1.32</v>
    <v>-7.69</v>
    <v>-1.5699000000000001E-2</v>
    <v>-0.41</v>
    <v>-8.5029999999999991E-4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489.38</v>
    <v>Specialty Retailers</v>
    <v>Stock</v>
    <v>45269.034530057812</v>
    <v>0</v>
    <v>481.98</v>
    <v>23414422483</v>
    <v>ULTA BEAUTY, INC.</v>
    <v>ULTA BEAUTY, INC.</v>
    <v>489.38</v>
    <v>19.882200000000001</v>
    <v>489.85</v>
    <v>482.16</v>
    <v>481.75</v>
    <v>48561520</v>
    <v>ULTA</v>
    <v>ULTA BEAUTY, INC. (XNAS:ULTA)</v>
    <v>586135</v>
    <v>885412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ULTA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opLeftCell="A178" workbookViewId="0">
      <pane xSplit="1" topLeftCell="L1" activePane="topRight" state="frozen"/>
      <selection pane="topRight" activeCell="M206" sqref="M206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190</v>
      </c>
      <c r="S1" s="2" t="s">
        <v>16</v>
      </c>
    </row>
    <row r="2" spans="1:19" ht="16" x14ac:dyDescent="0.2">
      <c r="A2" s="31" t="s">
        <v>17</v>
      </c>
      <c r="B2" s="27">
        <v>1454838000</v>
      </c>
      <c r="C2" s="27">
        <v>1776151000</v>
      </c>
      <c r="D2" s="27">
        <v>2220256000</v>
      </c>
      <c r="E2" s="27">
        <v>2670573000</v>
      </c>
      <c r="F2" s="27">
        <v>3241369000</v>
      </c>
      <c r="G2" s="27">
        <v>3924116000</v>
      </c>
      <c r="H2" s="27">
        <v>4854737000</v>
      </c>
      <c r="I2" s="27">
        <v>5884506000</v>
      </c>
      <c r="J2" s="27">
        <v>6716615000</v>
      </c>
      <c r="K2" s="27">
        <v>7398068000</v>
      </c>
      <c r="L2" s="27">
        <v>6151953000</v>
      </c>
      <c r="M2" s="27">
        <v>8630889000</v>
      </c>
      <c r="N2" s="27">
        <v>10208580000</v>
      </c>
      <c r="O2" s="28">
        <v>10729638000</v>
      </c>
      <c r="P2" s="27">
        <v>2338793000</v>
      </c>
      <c r="Q2" s="27">
        <v>3226773000</v>
      </c>
      <c r="R2" s="27">
        <v>2634263000</v>
      </c>
      <c r="S2" s="27">
        <v>2529809000</v>
      </c>
    </row>
    <row r="3" spans="1:19" ht="16" x14ac:dyDescent="0.2">
      <c r="A3" s="9" t="s">
        <v>191</v>
      </c>
      <c r="B3" s="10"/>
      <c r="C3" s="11">
        <f t="shared" ref="C3:O3" si="0">(C2/B2)-1</f>
        <v>0.22085826738097292</v>
      </c>
      <c r="D3" s="11">
        <f t="shared" si="0"/>
        <v>0.25003786277180273</v>
      </c>
      <c r="E3" s="11">
        <f t="shared" si="0"/>
        <v>0.20282210700027381</v>
      </c>
      <c r="F3" s="11">
        <f t="shared" si="0"/>
        <v>0.2137354043495534</v>
      </c>
      <c r="G3" s="11">
        <f t="shared" si="0"/>
        <v>0.21063538276573879</v>
      </c>
      <c r="H3" s="11">
        <f t="shared" si="0"/>
        <v>0.23715430430700835</v>
      </c>
      <c r="I3" s="11">
        <f t="shared" si="0"/>
        <v>0.21211633091555737</v>
      </c>
      <c r="J3" s="11">
        <f t="shared" si="0"/>
        <v>0.14140677229320531</v>
      </c>
      <c r="K3" s="11">
        <f t="shared" si="0"/>
        <v>0.10145780277714289</v>
      </c>
      <c r="L3" s="11">
        <f t="shared" si="0"/>
        <v>-0.16843789486660576</v>
      </c>
      <c r="M3" s="11">
        <f t="shared" si="0"/>
        <v>0.40295106285759985</v>
      </c>
      <c r="N3" s="11">
        <f t="shared" si="0"/>
        <v>0.18279588580040818</v>
      </c>
      <c r="O3" s="11">
        <f t="shared" si="0"/>
        <v>5.1041183004884028E-2</v>
      </c>
      <c r="P3" s="11"/>
      <c r="Q3" s="11">
        <f t="shared" ref="Q3:S3" si="1">(Q2/P2)-1</f>
        <v>0.37967447311497859</v>
      </c>
      <c r="R3" s="11">
        <f t="shared" si="1"/>
        <v>-0.18362308101623515</v>
      </c>
      <c r="S3" s="11">
        <f t="shared" si="1"/>
        <v>-3.9652077260319163E-2</v>
      </c>
    </row>
    <row r="4" spans="1:19" ht="16" x14ac:dyDescent="0.2">
      <c r="A4" s="3" t="s">
        <v>18</v>
      </c>
      <c r="B4" s="4">
        <v>1454838000</v>
      </c>
      <c r="C4" s="4">
        <v>1776151000</v>
      </c>
      <c r="D4" s="4">
        <v>2220256000</v>
      </c>
      <c r="E4" s="4">
        <v>2670573000</v>
      </c>
      <c r="F4" s="4">
        <v>3241369000</v>
      </c>
      <c r="G4" s="4">
        <v>3924116000</v>
      </c>
      <c r="H4" s="4">
        <v>4854737000</v>
      </c>
      <c r="I4" s="4">
        <v>5884506000</v>
      </c>
      <c r="J4" s="4">
        <v>6716615000</v>
      </c>
      <c r="K4" s="4">
        <v>7398068000</v>
      </c>
      <c r="L4" s="4">
        <v>6151953000</v>
      </c>
      <c r="M4" s="4">
        <v>8630889000</v>
      </c>
      <c r="N4" s="4">
        <v>10208580000</v>
      </c>
      <c r="O4" s="5">
        <v>10729638000</v>
      </c>
      <c r="P4" s="4">
        <v>2338793000</v>
      </c>
      <c r="Q4" s="4">
        <v>3226773000</v>
      </c>
      <c r="R4" s="4">
        <v>2634263000</v>
      </c>
      <c r="S4" s="4">
        <v>2529809000</v>
      </c>
    </row>
    <row r="5" spans="1:19" ht="16" x14ac:dyDescent="0.2">
      <c r="A5" s="3" t="s">
        <v>19</v>
      </c>
      <c r="B5" s="4">
        <v>970753000</v>
      </c>
      <c r="C5" s="4">
        <v>1159311000</v>
      </c>
      <c r="D5" s="4">
        <v>1436582000</v>
      </c>
      <c r="E5" s="4">
        <v>1729325000</v>
      </c>
      <c r="F5" s="4">
        <v>2104582000</v>
      </c>
      <c r="G5" s="4">
        <v>2539783000</v>
      </c>
      <c r="H5" s="4">
        <v>3107508000</v>
      </c>
      <c r="I5" s="4">
        <v>3787697000</v>
      </c>
      <c r="J5" s="4">
        <v>4307304000</v>
      </c>
      <c r="K5" s="4">
        <v>4717004000</v>
      </c>
      <c r="L5" s="4">
        <v>4202794000</v>
      </c>
      <c r="M5" s="4">
        <v>5262335000</v>
      </c>
      <c r="N5" s="4">
        <v>6164070000</v>
      </c>
      <c r="O5" s="5">
        <v>6505849000</v>
      </c>
      <c r="P5" s="4">
        <v>1375976000</v>
      </c>
      <c r="Q5" s="4">
        <v>2014270000</v>
      </c>
      <c r="R5" s="4">
        <v>1579406000</v>
      </c>
      <c r="S5" s="4">
        <v>1536197000</v>
      </c>
    </row>
    <row r="6" spans="1:19" ht="16" x14ac:dyDescent="0.2">
      <c r="A6" s="3" t="s">
        <v>20</v>
      </c>
      <c r="B6" s="4">
        <v>970753000</v>
      </c>
      <c r="C6" s="4">
        <v>1159311000</v>
      </c>
      <c r="D6" s="4">
        <v>1436582000</v>
      </c>
      <c r="E6" s="4">
        <v>1729325000</v>
      </c>
      <c r="F6" s="4">
        <v>2104582000</v>
      </c>
      <c r="G6" s="4">
        <v>2539783000</v>
      </c>
      <c r="H6" s="4">
        <v>3107508000</v>
      </c>
      <c r="I6" s="4">
        <v>3787697000</v>
      </c>
      <c r="J6" s="4">
        <v>4307304000</v>
      </c>
      <c r="K6" s="4">
        <v>4717004000</v>
      </c>
      <c r="L6" s="4">
        <v>4202794000</v>
      </c>
      <c r="M6" s="4">
        <v>5262335000</v>
      </c>
      <c r="N6" s="4">
        <v>6164070000</v>
      </c>
      <c r="O6" s="5">
        <v>6505849000</v>
      </c>
      <c r="P6" s="4">
        <v>1375976000</v>
      </c>
      <c r="Q6" s="4">
        <v>2014270000</v>
      </c>
      <c r="R6" s="4">
        <v>1579406000</v>
      </c>
      <c r="S6" s="4">
        <v>1536197000</v>
      </c>
    </row>
    <row r="7" spans="1:19" ht="16" x14ac:dyDescent="0.2">
      <c r="A7" s="31" t="s">
        <v>21</v>
      </c>
      <c r="B7" s="27">
        <v>484085000</v>
      </c>
      <c r="C7" s="27">
        <v>616840000</v>
      </c>
      <c r="D7" s="27">
        <v>783674000</v>
      </c>
      <c r="E7" s="27">
        <v>941248000</v>
      </c>
      <c r="F7" s="27">
        <v>1136787000</v>
      </c>
      <c r="G7" s="27">
        <v>1384333000</v>
      </c>
      <c r="H7" s="27">
        <v>1747229000</v>
      </c>
      <c r="I7" s="27">
        <v>2096809000</v>
      </c>
      <c r="J7" s="27">
        <v>2409311000</v>
      </c>
      <c r="K7" s="27">
        <v>2681064000</v>
      </c>
      <c r="L7" s="27">
        <v>1949159000</v>
      </c>
      <c r="M7" s="27">
        <v>3368554000</v>
      </c>
      <c r="N7" s="27">
        <v>4044510000</v>
      </c>
      <c r="O7" s="28">
        <v>4223789000</v>
      </c>
      <c r="P7" s="27">
        <v>962817000</v>
      </c>
      <c r="Q7" s="27">
        <v>1212503000</v>
      </c>
      <c r="R7" s="27">
        <v>1054857000</v>
      </c>
      <c r="S7" s="27">
        <v>993612000</v>
      </c>
    </row>
    <row r="8" spans="1:19" ht="16" x14ac:dyDescent="0.2">
      <c r="A8" s="26" t="s">
        <v>57</v>
      </c>
      <c r="B8" s="29">
        <v>33.270000000000003</v>
      </c>
      <c r="C8" s="29">
        <v>34.729999999999997</v>
      </c>
      <c r="D8" s="29">
        <v>35.299999999999997</v>
      </c>
      <c r="E8" s="29">
        <v>35.25</v>
      </c>
      <c r="F8" s="29">
        <v>35.07</v>
      </c>
      <c r="G8" s="29">
        <v>35.28</v>
      </c>
      <c r="H8" s="29">
        <v>35.99</v>
      </c>
      <c r="I8" s="29">
        <v>35.630000000000003</v>
      </c>
      <c r="J8" s="29">
        <v>35.869999999999997</v>
      </c>
      <c r="K8" s="29">
        <v>36.24</v>
      </c>
      <c r="L8" s="29">
        <v>31.68</v>
      </c>
      <c r="M8" s="29">
        <v>39.03</v>
      </c>
      <c r="N8" s="29">
        <v>39.619999999999997</v>
      </c>
      <c r="O8" s="30">
        <v>39.369999999999997</v>
      </c>
      <c r="P8" s="29">
        <v>41.17</v>
      </c>
      <c r="Q8" s="29">
        <v>37.58</v>
      </c>
      <c r="R8" s="29">
        <v>40.04</v>
      </c>
      <c r="S8" s="29">
        <v>39.28</v>
      </c>
    </row>
    <row r="9" spans="1:19" ht="16" x14ac:dyDescent="0.2">
      <c r="A9" s="3" t="s">
        <v>22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5" t="s">
        <v>23</v>
      </c>
      <c r="P9" s="4" t="s">
        <v>23</v>
      </c>
      <c r="Q9" s="4" t="s">
        <v>23</v>
      </c>
      <c r="R9" s="4" t="s">
        <v>23</v>
      </c>
      <c r="S9" s="4" t="s">
        <v>23</v>
      </c>
    </row>
    <row r="10" spans="1:19" ht="16" x14ac:dyDescent="0.2">
      <c r="A10" s="3" t="s">
        <v>24</v>
      </c>
      <c r="B10" s="4">
        <v>365201000</v>
      </c>
      <c r="C10" s="4">
        <v>420645000</v>
      </c>
      <c r="D10" s="4">
        <v>503696000</v>
      </c>
      <c r="E10" s="4">
        <v>613660000</v>
      </c>
      <c r="F10" s="4">
        <v>726372000</v>
      </c>
      <c r="G10" s="4">
        <v>878036000</v>
      </c>
      <c r="H10" s="4">
        <v>1092405000</v>
      </c>
      <c r="I10" s="4">
        <v>1311518000</v>
      </c>
      <c r="J10" s="4">
        <v>1555231000</v>
      </c>
      <c r="K10" s="4">
        <v>1779970000</v>
      </c>
      <c r="L10" s="4">
        <v>1598017000</v>
      </c>
      <c r="M10" s="4">
        <v>2071062000</v>
      </c>
      <c r="N10" s="4">
        <v>2405900000</v>
      </c>
      <c r="O10" s="5">
        <v>2580603000</v>
      </c>
      <c r="P10" s="4">
        <v>600961000</v>
      </c>
      <c r="Q10" s="4">
        <v>764885000</v>
      </c>
      <c r="R10" s="4">
        <v>612787000</v>
      </c>
      <c r="S10" s="4">
        <v>601970000</v>
      </c>
    </row>
    <row r="11" spans="1:19" ht="16" x14ac:dyDescent="0.2">
      <c r="A11" s="26" t="s">
        <v>25</v>
      </c>
      <c r="B11" s="27">
        <v>365201000</v>
      </c>
      <c r="C11" s="27">
        <v>410658000</v>
      </c>
      <c r="D11" s="27">
        <v>488880000</v>
      </c>
      <c r="E11" s="27">
        <v>596390000</v>
      </c>
      <c r="F11" s="27">
        <v>712006000</v>
      </c>
      <c r="G11" s="27">
        <v>863354000</v>
      </c>
      <c r="H11" s="27">
        <v>1073834000</v>
      </c>
      <c r="I11" s="27">
        <v>1287232000</v>
      </c>
      <c r="J11" s="27">
        <v>1535464000</v>
      </c>
      <c r="K11" s="27">
        <v>1760716000</v>
      </c>
      <c r="L11" s="27">
        <v>1583017000</v>
      </c>
      <c r="M11" s="27">
        <v>2061545000</v>
      </c>
      <c r="N11" s="27">
        <v>2395299000</v>
      </c>
      <c r="O11" s="28">
        <v>2572691000</v>
      </c>
      <c r="P11" s="27">
        <v>597164000</v>
      </c>
      <c r="Q11" s="27">
        <v>762706000</v>
      </c>
      <c r="R11" s="27">
        <v>612129000</v>
      </c>
      <c r="S11" s="27">
        <v>600692000</v>
      </c>
    </row>
    <row r="12" spans="1:19" ht="16" x14ac:dyDescent="0.2">
      <c r="A12" s="12" t="s">
        <v>192</v>
      </c>
      <c r="B12" s="11">
        <f t="shared" ref="B12:S12" si="2">B11/B2</f>
        <v>0.25102520005663859</v>
      </c>
      <c r="C12" s="11">
        <f t="shared" si="2"/>
        <v>0.23120669357503951</v>
      </c>
      <c r="D12" s="11">
        <f t="shared" si="2"/>
        <v>0.22019082484182004</v>
      </c>
      <c r="E12" s="11">
        <f t="shared" si="2"/>
        <v>0.22331911541081259</v>
      </c>
      <c r="F12" s="11">
        <f t="shared" si="2"/>
        <v>0.21966212424441647</v>
      </c>
      <c r="G12" s="11">
        <f t="shared" si="2"/>
        <v>0.22001235437484518</v>
      </c>
      <c r="H12" s="11">
        <f t="shared" si="2"/>
        <v>0.22119303270187449</v>
      </c>
      <c r="I12" s="11">
        <f t="shared" si="2"/>
        <v>0.21874937335436484</v>
      </c>
      <c r="J12" s="11">
        <f t="shared" si="2"/>
        <v>0.22860682054874368</v>
      </c>
      <c r="K12" s="11">
        <f t="shared" si="2"/>
        <v>0.23799673103842786</v>
      </c>
      <c r="L12" s="11">
        <f t="shared" si="2"/>
        <v>0.25731942360417903</v>
      </c>
      <c r="M12" s="11">
        <f t="shared" si="2"/>
        <v>0.23885662299677357</v>
      </c>
      <c r="N12" s="11">
        <f t="shared" si="2"/>
        <v>0.2346358651252182</v>
      </c>
      <c r="O12" s="11">
        <f t="shared" si="2"/>
        <v>0.239774258926536</v>
      </c>
      <c r="P12" s="11">
        <f t="shared" si="2"/>
        <v>0.25532999286384045</v>
      </c>
      <c r="Q12" s="11">
        <f t="shared" si="2"/>
        <v>0.23636803704506018</v>
      </c>
      <c r="R12" s="11">
        <f t="shared" si="2"/>
        <v>0.23237201448754358</v>
      </c>
      <c r="S12" s="11">
        <f t="shared" si="2"/>
        <v>0.23744559371873528</v>
      </c>
    </row>
    <row r="13" spans="1:19" ht="16" x14ac:dyDescent="0.2">
      <c r="A13" s="26" t="s">
        <v>26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8">
        <v>0</v>
      </c>
      <c r="P13" s="27">
        <v>0</v>
      </c>
      <c r="Q13" s="27">
        <v>0</v>
      </c>
      <c r="R13" s="27">
        <v>0</v>
      </c>
      <c r="S13" s="27">
        <v>0</v>
      </c>
    </row>
    <row r="14" spans="1:19" ht="16" x14ac:dyDescent="0.2">
      <c r="A14" s="13" t="s">
        <v>193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ref="K14:S14" si="3">K13/K2</f>
        <v>0</v>
      </c>
      <c r="L14" s="14">
        <f t="shared" si="3"/>
        <v>0</v>
      </c>
      <c r="M14" s="14">
        <f t="shared" si="3"/>
        <v>0</v>
      </c>
      <c r="N14" s="14">
        <f t="shared" si="3"/>
        <v>0</v>
      </c>
      <c r="O14" s="14">
        <f t="shared" si="3"/>
        <v>0</v>
      </c>
      <c r="P14" s="14">
        <f t="shared" si="3"/>
        <v>0</v>
      </c>
      <c r="Q14" s="14">
        <f t="shared" si="3"/>
        <v>0</v>
      </c>
      <c r="R14" s="14">
        <f t="shared" si="3"/>
        <v>0</v>
      </c>
      <c r="S14" s="14">
        <f t="shared" si="3"/>
        <v>0</v>
      </c>
    </row>
    <row r="15" spans="1:19" ht="16" x14ac:dyDescent="0.2">
      <c r="A15" s="3" t="s">
        <v>27</v>
      </c>
      <c r="B15" s="4" t="s">
        <v>23</v>
      </c>
      <c r="C15" s="4">
        <v>9987000</v>
      </c>
      <c r="D15" s="4">
        <v>14816000</v>
      </c>
      <c r="E15" s="4">
        <v>17270000</v>
      </c>
      <c r="F15" s="4">
        <v>14366000</v>
      </c>
      <c r="G15" s="4">
        <v>14682000</v>
      </c>
      <c r="H15" s="4">
        <v>18571000</v>
      </c>
      <c r="I15" s="4">
        <v>24286000</v>
      </c>
      <c r="J15" s="4">
        <v>19767000</v>
      </c>
      <c r="K15" s="4">
        <v>19254000</v>
      </c>
      <c r="L15" s="4">
        <v>15000000</v>
      </c>
      <c r="M15" s="4">
        <v>9517000</v>
      </c>
      <c r="N15" s="4">
        <v>10601000</v>
      </c>
      <c r="O15" s="5">
        <v>7912000</v>
      </c>
      <c r="P15" s="4">
        <v>3797000</v>
      </c>
      <c r="Q15" s="4">
        <v>2179000</v>
      </c>
      <c r="R15" s="4">
        <v>658000</v>
      </c>
      <c r="S15" s="4">
        <v>1278000</v>
      </c>
    </row>
    <row r="16" spans="1:19" ht="16" x14ac:dyDescent="0.2">
      <c r="A16" s="31" t="s">
        <v>28</v>
      </c>
      <c r="B16" s="27">
        <v>118884000</v>
      </c>
      <c r="C16" s="27">
        <v>196195000</v>
      </c>
      <c r="D16" s="27">
        <v>279978000</v>
      </c>
      <c r="E16" s="27">
        <v>327588000</v>
      </c>
      <c r="F16" s="27">
        <v>410415000</v>
      </c>
      <c r="G16" s="27">
        <v>506297000</v>
      </c>
      <c r="H16" s="27">
        <v>654824000</v>
      </c>
      <c r="I16" s="27">
        <v>785291000</v>
      </c>
      <c r="J16" s="27">
        <v>854080000</v>
      </c>
      <c r="K16" s="27">
        <v>901094000</v>
      </c>
      <c r="L16" s="27">
        <v>351142000</v>
      </c>
      <c r="M16" s="27">
        <v>1297492000</v>
      </c>
      <c r="N16" s="27">
        <v>1638610000</v>
      </c>
      <c r="O16" s="28">
        <v>1643186000</v>
      </c>
      <c r="P16" s="27">
        <v>361856000</v>
      </c>
      <c r="Q16" s="27">
        <v>447618000</v>
      </c>
      <c r="R16" s="27">
        <v>442070000</v>
      </c>
      <c r="S16" s="27">
        <v>391642000</v>
      </c>
    </row>
    <row r="17" spans="1:19" ht="16" x14ac:dyDescent="0.2">
      <c r="A17" s="26" t="s">
        <v>58</v>
      </c>
      <c r="B17" s="29">
        <v>8.17</v>
      </c>
      <c r="C17" s="29">
        <v>11.05</v>
      </c>
      <c r="D17" s="29">
        <v>12.61</v>
      </c>
      <c r="E17" s="29">
        <v>12.27</v>
      </c>
      <c r="F17" s="29">
        <v>12.66</v>
      </c>
      <c r="G17" s="29">
        <v>12.9</v>
      </c>
      <c r="H17" s="29">
        <v>13.49</v>
      </c>
      <c r="I17" s="29">
        <v>13.35</v>
      </c>
      <c r="J17" s="29">
        <v>12.72</v>
      </c>
      <c r="K17" s="29">
        <v>12.18</v>
      </c>
      <c r="L17" s="29">
        <v>5.71</v>
      </c>
      <c r="M17" s="29">
        <v>15.03</v>
      </c>
      <c r="N17" s="29">
        <v>16.05</v>
      </c>
      <c r="O17" s="30">
        <v>15.31</v>
      </c>
      <c r="P17" s="29">
        <v>15.47</v>
      </c>
      <c r="Q17" s="29">
        <v>13.87</v>
      </c>
      <c r="R17" s="29">
        <v>16.78</v>
      </c>
      <c r="S17" s="29">
        <v>15.48</v>
      </c>
    </row>
    <row r="18" spans="1:19" ht="16" x14ac:dyDescent="0.2">
      <c r="A18" s="15" t="s">
        <v>194</v>
      </c>
      <c r="B18" s="10"/>
      <c r="C18" s="11">
        <f>(C16/B16)-1</f>
        <v>0.65030618081491198</v>
      </c>
      <c r="D18" s="11">
        <f>(D16/C16)-1</f>
        <v>0.42703942506180081</v>
      </c>
      <c r="E18" s="11">
        <f>(E16/D16)-1</f>
        <v>0.17004907528448654</v>
      </c>
      <c r="F18" s="11">
        <f t="shared" ref="F18:O18" si="4">(F16/E16)-1</f>
        <v>0.25283893182900474</v>
      </c>
      <c r="G18" s="11">
        <f t="shared" si="4"/>
        <v>0.23362206547031672</v>
      </c>
      <c r="H18" s="11">
        <f t="shared" si="4"/>
        <v>0.29335943132193165</v>
      </c>
      <c r="I18" s="11">
        <f t="shared" si="4"/>
        <v>0.19923979573137207</v>
      </c>
      <c r="J18" s="11">
        <f t="shared" si="4"/>
        <v>8.7596827163433755E-2</v>
      </c>
      <c r="K18" s="11">
        <f t="shared" si="4"/>
        <v>5.5046365680029963E-2</v>
      </c>
      <c r="L18" s="11">
        <f t="shared" si="4"/>
        <v>-0.61031590488894616</v>
      </c>
      <c r="M18" s="11">
        <f t="shared" si="4"/>
        <v>2.6950635355497208</v>
      </c>
      <c r="N18" s="11">
        <f t="shared" si="4"/>
        <v>0.26290566724110831</v>
      </c>
      <c r="O18" s="11">
        <f t="shared" si="4"/>
        <v>2.7926108103819569E-3</v>
      </c>
      <c r="P18" s="11"/>
      <c r="Q18" s="11">
        <f t="shared" ref="Q18:S18" si="5">(Q16/P16)-1</f>
        <v>0.2370058807923594</v>
      </c>
      <c r="R18" s="11">
        <f t="shared" si="5"/>
        <v>-1.239449709350382E-2</v>
      </c>
      <c r="S18" s="11">
        <f t="shared" si="5"/>
        <v>-0.11407243196778794</v>
      </c>
    </row>
    <row r="19" spans="1:19" ht="16" x14ac:dyDescent="0.2">
      <c r="A19" s="3" t="s">
        <v>29</v>
      </c>
      <c r="B19" s="4">
        <v>755000</v>
      </c>
      <c r="C19" s="4">
        <v>587000</v>
      </c>
      <c r="D19" s="4">
        <v>185000</v>
      </c>
      <c r="E19" s="4">
        <v>-118000</v>
      </c>
      <c r="F19" s="4">
        <v>-894000</v>
      </c>
      <c r="G19" s="4">
        <v>-1143000</v>
      </c>
      <c r="H19" s="4">
        <v>-890000</v>
      </c>
      <c r="I19" s="4">
        <v>-1568000</v>
      </c>
      <c r="J19" s="4">
        <v>-5061000</v>
      </c>
      <c r="K19" s="4">
        <v>-5056000</v>
      </c>
      <c r="L19" s="4">
        <v>120057000</v>
      </c>
      <c r="M19" s="4">
        <v>1663000</v>
      </c>
      <c r="N19" s="4">
        <v>-4934000</v>
      </c>
      <c r="O19" s="5">
        <v>-17024000</v>
      </c>
      <c r="P19" s="4">
        <v>-849000</v>
      </c>
      <c r="Q19" s="4">
        <v>-4378000</v>
      </c>
      <c r="R19" s="4">
        <v>-7348000</v>
      </c>
      <c r="S19" s="4">
        <v>-4449000</v>
      </c>
    </row>
    <row r="20" spans="1:19" ht="16" x14ac:dyDescent="0.2">
      <c r="A20" s="3" t="s">
        <v>30</v>
      </c>
      <c r="B20" s="4">
        <v>755000</v>
      </c>
      <c r="C20" s="4">
        <v>1174000</v>
      </c>
      <c r="D20" s="4">
        <v>370000</v>
      </c>
      <c r="E20" s="4">
        <v>-118000</v>
      </c>
      <c r="F20" s="4">
        <v>-894000</v>
      </c>
      <c r="G20" s="4">
        <v>-1143000</v>
      </c>
      <c r="H20" s="4">
        <v>-890000</v>
      </c>
      <c r="I20" s="4">
        <v>-1568000</v>
      </c>
      <c r="J20" s="4">
        <v>-5061000</v>
      </c>
      <c r="K20" s="4">
        <v>-5056000</v>
      </c>
      <c r="L20" s="4">
        <v>-5735000</v>
      </c>
      <c r="M20" s="4">
        <v>-1663000</v>
      </c>
      <c r="N20" s="4" t="s">
        <v>23</v>
      </c>
      <c r="O20" s="5">
        <v>0</v>
      </c>
      <c r="P20" s="4" t="s">
        <v>23</v>
      </c>
      <c r="Q20" s="4" t="s">
        <v>23</v>
      </c>
      <c r="R20" s="4" t="s">
        <v>23</v>
      </c>
      <c r="S20" s="4" t="s">
        <v>23</v>
      </c>
    </row>
    <row r="21" spans="1:19" ht="16" x14ac:dyDescent="0.2">
      <c r="A21" s="3" t="s">
        <v>31</v>
      </c>
      <c r="B21" s="4">
        <v>755000</v>
      </c>
      <c r="C21" s="4">
        <v>587000</v>
      </c>
      <c r="D21" s="4">
        <v>185000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>
        <v>-5735000</v>
      </c>
      <c r="M21" s="4">
        <v>-1663000</v>
      </c>
      <c r="N21" s="4" t="s">
        <v>23</v>
      </c>
      <c r="O21" s="5">
        <v>0</v>
      </c>
      <c r="P21" s="4" t="s">
        <v>23</v>
      </c>
      <c r="Q21" s="4" t="s">
        <v>23</v>
      </c>
      <c r="R21" s="4" t="s">
        <v>23</v>
      </c>
      <c r="S21" s="4" t="s">
        <v>23</v>
      </c>
    </row>
    <row r="22" spans="1:19" ht="16" x14ac:dyDescent="0.2">
      <c r="A22" s="3" t="s">
        <v>32</v>
      </c>
      <c r="B22" s="4" t="s">
        <v>23</v>
      </c>
      <c r="C22" s="4">
        <v>-587000</v>
      </c>
      <c r="D22" s="4">
        <v>-185000</v>
      </c>
      <c r="E22" s="4">
        <v>118000</v>
      </c>
      <c r="F22" s="4">
        <v>894000</v>
      </c>
      <c r="G22" s="4">
        <v>1143000</v>
      </c>
      <c r="H22" s="4">
        <v>890000</v>
      </c>
      <c r="I22" s="4">
        <v>1568000</v>
      </c>
      <c r="J22" s="4">
        <v>5061000</v>
      </c>
      <c r="K22" s="4">
        <v>5056000</v>
      </c>
      <c r="L22" s="4" t="s">
        <v>23</v>
      </c>
      <c r="M22" s="4" t="s">
        <v>23</v>
      </c>
      <c r="N22" s="4" t="s">
        <v>23</v>
      </c>
      <c r="O22" s="5" t="s">
        <v>23</v>
      </c>
      <c r="P22" s="4" t="s">
        <v>23</v>
      </c>
      <c r="Q22" s="4" t="s">
        <v>23</v>
      </c>
      <c r="R22" s="4" t="s">
        <v>23</v>
      </c>
      <c r="S22" s="4" t="s">
        <v>23</v>
      </c>
    </row>
    <row r="23" spans="1:19" ht="16" x14ac:dyDescent="0.2">
      <c r="A23" s="3" t="s">
        <v>33</v>
      </c>
      <c r="B23" s="4" t="s">
        <v>23</v>
      </c>
      <c r="C23" s="4">
        <v>-587000</v>
      </c>
      <c r="D23" s="4">
        <v>-185000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>
        <v>125792000</v>
      </c>
      <c r="M23" s="4">
        <v>3326000</v>
      </c>
      <c r="N23" s="4">
        <v>-4934000</v>
      </c>
      <c r="O23" s="5">
        <v>-17024000</v>
      </c>
      <c r="P23" s="4">
        <v>-849000</v>
      </c>
      <c r="Q23" s="4">
        <v>-4378000</v>
      </c>
      <c r="R23" s="4">
        <v>-7348000</v>
      </c>
      <c r="S23" s="4">
        <v>-4449000</v>
      </c>
    </row>
    <row r="24" spans="1:19" ht="16" x14ac:dyDescent="0.2">
      <c r="A24" s="3" t="s">
        <v>34</v>
      </c>
      <c r="B24" s="4">
        <v>118129000</v>
      </c>
      <c r="C24" s="4">
        <v>195608000</v>
      </c>
      <c r="D24" s="4">
        <v>279793000</v>
      </c>
      <c r="E24" s="4">
        <v>327706000</v>
      </c>
      <c r="F24" s="4">
        <v>411309000</v>
      </c>
      <c r="G24" s="4">
        <v>507440000</v>
      </c>
      <c r="H24" s="4">
        <v>655714000</v>
      </c>
      <c r="I24" s="4">
        <v>786859000</v>
      </c>
      <c r="J24" s="4">
        <v>859141000</v>
      </c>
      <c r="K24" s="4">
        <v>906150000</v>
      </c>
      <c r="L24" s="4">
        <v>231085000</v>
      </c>
      <c r="M24" s="4">
        <v>1295829000</v>
      </c>
      <c r="N24" s="4">
        <v>1643544000</v>
      </c>
      <c r="O24" s="5">
        <v>1660210000</v>
      </c>
      <c r="P24" s="4">
        <v>362705000</v>
      </c>
      <c r="Q24" s="4">
        <v>451996000</v>
      </c>
      <c r="R24" s="4">
        <v>449418000</v>
      </c>
      <c r="S24" s="4">
        <v>396091000</v>
      </c>
    </row>
    <row r="25" spans="1:19" ht="16" x14ac:dyDescent="0.2">
      <c r="A25" s="3" t="s">
        <v>35</v>
      </c>
      <c r="B25" s="4">
        <v>47099000</v>
      </c>
      <c r="C25" s="4">
        <v>75344000</v>
      </c>
      <c r="D25" s="4">
        <v>107244000</v>
      </c>
      <c r="E25" s="4">
        <v>124857000</v>
      </c>
      <c r="F25" s="4">
        <v>154174000</v>
      </c>
      <c r="G25" s="4">
        <v>187432000</v>
      </c>
      <c r="H25" s="4">
        <v>245954000</v>
      </c>
      <c r="I25" s="4">
        <v>231625000</v>
      </c>
      <c r="J25" s="4">
        <v>200582000</v>
      </c>
      <c r="K25" s="4">
        <v>200205000</v>
      </c>
      <c r="L25" s="4">
        <v>55250000</v>
      </c>
      <c r="M25" s="4">
        <v>309992000</v>
      </c>
      <c r="N25" s="4">
        <v>401136000</v>
      </c>
      <c r="O25" s="5">
        <v>397721000</v>
      </c>
      <c r="P25" s="4">
        <v>88120000</v>
      </c>
      <c r="Q25" s="4">
        <v>111245000</v>
      </c>
      <c r="R25" s="4">
        <v>102367000</v>
      </c>
      <c r="S25" s="4">
        <v>95989000</v>
      </c>
    </row>
    <row r="26" spans="1:19" ht="16" x14ac:dyDescent="0.2">
      <c r="A26" s="3" t="s">
        <v>36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5" t="s">
        <v>23</v>
      </c>
      <c r="P26" s="4" t="s">
        <v>23</v>
      </c>
      <c r="Q26" s="4" t="s">
        <v>23</v>
      </c>
      <c r="R26" s="4" t="s">
        <v>23</v>
      </c>
      <c r="S26" s="4" t="s">
        <v>23</v>
      </c>
    </row>
    <row r="27" spans="1:19" ht="16" x14ac:dyDescent="0.2">
      <c r="A27" s="3" t="s">
        <v>37</v>
      </c>
      <c r="B27" s="4">
        <v>71030000</v>
      </c>
      <c r="C27" s="4">
        <v>120264000</v>
      </c>
      <c r="D27" s="4">
        <v>172549000</v>
      </c>
      <c r="E27" s="4">
        <v>202849000</v>
      </c>
      <c r="F27" s="4">
        <v>257135000</v>
      </c>
      <c r="G27" s="4">
        <v>320008000</v>
      </c>
      <c r="H27" s="4">
        <v>409760000</v>
      </c>
      <c r="I27" s="4">
        <v>555234000</v>
      </c>
      <c r="J27" s="4">
        <v>658559000</v>
      </c>
      <c r="K27" s="4">
        <v>705945000</v>
      </c>
      <c r="L27" s="4">
        <v>175835000</v>
      </c>
      <c r="M27" s="4">
        <v>985837000</v>
      </c>
      <c r="N27" s="4">
        <v>1242408000</v>
      </c>
      <c r="O27" s="5">
        <v>1262489000</v>
      </c>
      <c r="P27" s="4">
        <v>274585000</v>
      </c>
      <c r="Q27" s="4">
        <v>340751000</v>
      </c>
      <c r="R27" s="4">
        <v>347051000</v>
      </c>
      <c r="S27" s="4">
        <v>300102000</v>
      </c>
    </row>
    <row r="28" spans="1:19" ht="16" x14ac:dyDescent="0.2">
      <c r="A28" s="3" t="s">
        <v>38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5" t="s">
        <v>23</v>
      </c>
      <c r="P28" s="4" t="s">
        <v>23</v>
      </c>
      <c r="Q28" s="4" t="s">
        <v>23</v>
      </c>
      <c r="R28" s="4" t="s">
        <v>23</v>
      </c>
      <c r="S28" s="4" t="s">
        <v>23</v>
      </c>
    </row>
    <row r="29" spans="1:19" ht="16" x14ac:dyDescent="0.2">
      <c r="A29" s="3" t="s">
        <v>39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  <c r="O29" s="5" t="s">
        <v>23</v>
      </c>
      <c r="P29" s="4" t="s">
        <v>23</v>
      </c>
      <c r="Q29" s="4" t="s">
        <v>23</v>
      </c>
      <c r="R29" s="4" t="s">
        <v>23</v>
      </c>
      <c r="S29" s="4" t="s">
        <v>23</v>
      </c>
    </row>
    <row r="30" spans="1:19" ht="16" x14ac:dyDescent="0.2">
      <c r="A30" s="3" t="s">
        <v>40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5" t="s">
        <v>23</v>
      </c>
      <c r="P30" s="4" t="s">
        <v>23</v>
      </c>
      <c r="Q30" s="4" t="s">
        <v>23</v>
      </c>
      <c r="R30" s="4" t="s">
        <v>23</v>
      </c>
      <c r="S30" s="4" t="s">
        <v>23</v>
      </c>
    </row>
    <row r="31" spans="1:19" ht="16" x14ac:dyDescent="0.2">
      <c r="A31" s="3" t="s">
        <v>41</v>
      </c>
      <c r="B31" s="4">
        <v>71030000</v>
      </c>
      <c r="C31" s="4">
        <v>120264000</v>
      </c>
      <c r="D31" s="4">
        <v>172549000</v>
      </c>
      <c r="E31" s="4">
        <v>202849000</v>
      </c>
      <c r="F31" s="4">
        <v>257135000</v>
      </c>
      <c r="G31" s="4">
        <v>320008000</v>
      </c>
      <c r="H31" s="4">
        <v>409760000</v>
      </c>
      <c r="I31" s="4">
        <v>555234000</v>
      </c>
      <c r="J31" s="4">
        <v>658559000</v>
      </c>
      <c r="K31" s="4">
        <v>705945000</v>
      </c>
      <c r="L31" s="4">
        <v>175835000</v>
      </c>
      <c r="M31" s="4">
        <v>985837000</v>
      </c>
      <c r="N31" s="4">
        <v>1242408000</v>
      </c>
      <c r="O31" s="5">
        <v>1262489000</v>
      </c>
      <c r="P31" s="4">
        <v>274585000</v>
      </c>
      <c r="Q31" s="4">
        <v>340751000</v>
      </c>
      <c r="R31" s="4">
        <v>347051000</v>
      </c>
      <c r="S31" s="4">
        <v>300102000</v>
      </c>
    </row>
    <row r="32" spans="1:19" ht="16" x14ac:dyDescent="0.2">
      <c r="A32" s="3" t="s">
        <v>42</v>
      </c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5" t="s">
        <v>23</v>
      </c>
      <c r="P32" s="4" t="s">
        <v>23</v>
      </c>
      <c r="Q32" s="4" t="s">
        <v>23</v>
      </c>
      <c r="R32" s="4" t="s">
        <v>23</v>
      </c>
      <c r="S32" s="4" t="s">
        <v>23</v>
      </c>
    </row>
    <row r="33" spans="1:19" ht="16" x14ac:dyDescent="0.2">
      <c r="A33" s="31" t="s">
        <v>43</v>
      </c>
      <c r="B33" s="27">
        <v>71030000</v>
      </c>
      <c r="C33" s="27">
        <v>120264000</v>
      </c>
      <c r="D33" s="27">
        <v>172549000</v>
      </c>
      <c r="E33" s="27">
        <v>202849000</v>
      </c>
      <c r="F33" s="27">
        <v>257135000</v>
      </c>
      <c r="G33" s="27">
        <v>320008000</v>
      </c>
      <c r="H33" s="27">
        <v>409760000</v>
      </c>
      <c r="I33" s="27">
        <v>555234000</v>
      </c>
      <c r="J33" s="27">
        <v>658559000</v>
      </c>
      <c r="K33" s="27">
        <v>705945000</v>
      </c>
      <c r="L33" s="27">
        <v>175835000</v>
      </c>
      <c r="M33" s="27">
        <v>985837000</v>
      </c>
      <c r="N33" s="27">
        <v>1242408000</v>
      </c>
      <c r="O33" s="28">
        <v>1262489000</v>
      </c>
      <c r="P33" s="27">
        <v>274585000</v>
      </c>
      <c r="Q33" s="27">
        <v>340751000</v>
      </c>
      <c r="R33" s="27">
        <v>347051000</v>
      </c>
      <c r="S33" s="27">
        <v>300102000</v>
      </c>
    </row>
    <row r="34" spans="1:19" ht="16" x14ac:dyDescent="0.2">
      <c r="A34" s="26" t="s">
        <v>59</v>
      </c>
      <c r="B34" s="29">
        <v>4.88</v>
      </c>
      <c r="C34" s="29">
        <v>6.77</v>
      </c>
      <c r="D34" s="29">
        <v>7.77</v>
      </c>
      <c r="E34" s="29">
        <v>7.6</v>
      </c>
      <c r="F34" s="29">
        <v>7.93</v>
      </c>
      <c r="G34" s="29">
        <v>8.15</v>
      </c>
      <c r="H34" s="29">
        <v>8.44</v>
      </c>
      <c r="I34" s="29">
        <v>9.44</v>
      </c>
      <c r="J34" s="29">
        <v>9.8000000000000007</v>
      </c>
      <c r="K34" s="29">
        <v>9.5399999999999991</v>
      </c>
      <c r="L34" s="29">
        <v>2.86</v>
      </c>
      <c r="M34" s="29">
        <v>11.42</v>
      </c>
      <c r="N34" s="29">
        <v>12.17</v>
      </c>
      <c r="O34" s="30">
        <v>11.77</v>
      </c>
      <c r="P34" s="29">
        <v>11.74</v>
      </c>
      <c r="Q34" s="29">
        <v>10.56</v>
      </c>
      <c r="R34" s="29">
        <v>13.17</v>
      </c>
      <c r="S34" s="29">
        <v>11.86</v>
      </c>
    </row>
    <row r="35" spans="1:19" ht="16" x14ac:dyDescent="0.2">
      <c r="A35" s="16" t="s">
        <v>195</v>
      </c>
      <c r="B35" s="17"/>
      <c r="C35" s="14">
        <f>(C33/B33)-1</f>
        <v>0.69314374208081087</v>
      </c>
      <c r="D35" s="14">
        <f>(D33/C33)-1</f>
        <v>0.43475187919909541</v>
      </c>
      <c r="E35" s="14">
        <f>(E33/D33)-1</f>
        <v>0.17560229268207861</v>
      </c>
      <c r="F35" s="14">
        <f t="shared" ref="F35:O35" si="6">(F33/E33)-1</f>
        <v>0.26761778465755315</v>
      </c>
      <c r="G35" s="14">
        <f t="shared" si="6"/>
        <v>0.24451358235946108</v>
      </c>
      <c r="H35" s="14">
        <f t="shared" si="6"/>
        <v>0.28046798830029251</v>
      </c>
      <c r="I35" s="14">
        <f t="shared" si="6"/>
        <v>0.35502245216712214</v>
      </c>
      <c r="J35" s="14">
        <f t="shared" si="6"/>
        <v>0.18609271046081477</v>
      </c>
      <c r="K35" s="14">
        <f t="shared" si="6"/>
        <v>7.1954069415192778E-2</v>
      </c>
      <c r="L35" s="14">
        <f t="shared" si="6"/>
        <v>-0.7509225222928132</v>
      </c>
      <c r="M35" s="14">
        <f t="shared" si="6"/>
        <v>4.6066027810162939</v>
      </c>
      <c r="N35" s="14">
        <f t="shared" si="6"/>
        <v>0.26025702017676355</v>
      </c>
      <c r="O35" s="14">
        <f t="shared" si="6"/>
        <v>1.6162967398793304E-2</v>
      </c>
      <c r="P35" s="14"/>
      <c r="Q35" s="14">
        <f t="shared" ref="Q35:S35" si="7">(Q33/P33)-1</f>
        <v>0.24096727789209171</v>
      </c>
      <c r="R35" s="14">
        <f t="shared" si="7"/>
        <v>1.8488573767941885E-2</v>
      </c>
      <c r="S35" s="14">
        <f t="shared" si="7"/>
        <v>-0.13527982918936987</v>
      </c>
    </row>
    <row r="36" spans="1:19" ht="16" x14ac:dyDescent="0.2">
      <c r="A36" s="18" t="s">
        <v>196</v>
      </c>
      <c r="B36" s="19">
        <f t="shared" ref="B36:S36" si="8">(B16*(1-0.25))/(B126+B105+B96)</f>
        <v>0.22150482072277303</v>
      </c>
      <c r="C36" s="19">
        <f t="shared" si="8"/>
        <v>0.25165938662981613</v>
      </c>
      <c r="D36" s="19">
        <f t="shared" si="8"/>
        <v>0.26683478579107484</v>
      </c>
      <c r="E36" s="19">
        <f t="shared" si="8"/>
        <v>0.24493317675113199</v>
      </c>
      <c r="F36" s="19">
        <f t="shared" si="8"/>
        <v>0.24674070487667824</v>
      </c>
      <c r="G36" s="19">
        <f t="shared" si="8"/>
        <v>0.26316891978992102</v>
      </c>
      <c r="H36" s="19">
        <f t="shared" si="8"/>
        <v>0.31680576538267519</v>
      </c>
      <c r="I36" s="19">
        <f t="shared" si="8"/>
        <v>0.33195953482578511</v>
      </c>
      <c r="J36" s="19">
        <f t="shared" si="8"/>
        <v>0.35191389163276049</v>
      </c>
      <c r="K36" s="19">
        <f t="shared" si="8"/>
        <v>0.17597471227913669</v>
      </c>
      <c r="L36" s="19">
        <f t="shared" si="8"/>
        <v>6.7590565529277405E-2</v>
      </c>
      <c r="M36" s="19">
        <f t="shared" si="8"/>
        <v>0.28772379764343703</v>
      </c>
      <c r="N36" s="19">
        <f t="shared" si="8"/>
        <v>0.31813658705038356</v>
      </c>
      <c r="O36" s="19">
        <f t="shared" si="8"/>
        <v>0.313403611547104</v>
      </c>
      <c r="P36" s="19">
        <f t="shared" si="8"/>
        <v>7.1058865915246322E-2</v>
      </c>
      <c r="Q36" s="19">
        <f t="shared" si="8"/>
        <v>8.6905159142394217E-2</v>
      </c>
      <c r="R36" s="19">
        <f t="shared" si="8"/>
        <v>8.4656233937969949E-2</v>
      </c>
      <c r="S36" s="19">
        <f t="shared" si="8"/>
        <v>7.469757972227789E-2</v>
      </c>
    </row>
    <row r="37" spans="1:19" ht="16" x14ac:dyDescent="0.2">
      <c r="A37" s="3" t="s">
        <v>44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4" t="s">
        <v>23</v>
      </c>
      <c r="N37" s="4" t="s">
        <v>23</v>
      </c>
      <c r="O37" s="5" t="s">
        <v>23</v>
      </c>
      <c r="P37" s="4" t="s">
        <v>23</v>
      </c>
      <c r="Q37" s="4" t="s">
        <v>23</v>
      </c>
      <c r="R37" s="4" t="s">
        <v>23</v>
      </c>
      <c r="S37" s="4" t="s">
        <v>23</v>
      </c>
    </row>
    <row r="38" spans="1:19" ht="16" x14ac:dyDescent="0.2">
      <c r="A38" s="3" t="s">
        <v>45</v>
      </c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5" t="s">
        <v>23</v>
      </c>
      <c r="P38" s="4" t="s">
        <v>23</v>
      </c>
      <c r="Q38" s="4" t="s">
        <v>23</v>
      </c>
      <c r="R38" s="4" t="s">
        <v>23</v>
      </c>
      <c r="S38" s="4" t="s">
        <v>23</v>
      </c>
    </row>
    <row r="39" spans="1:19" ht="16" x14ac:dyDescent="0.2">
      <c r="A39" s="3" t="s">
        <v>46</v>
      </c>
      <c r="B39" s="4">
        <v>71030000</v>
      </c>
      <c r="C39" s="4">
        <v>120264000</v>
      </c>
      <c r="D39" s="4">
        <v>172549000</v>
      </c>
      <c r="E39" s="4">
        <v>202849000</v>
      </c>
      <c r="F39" s="4">
        <v>257135000</v>
      </c>
      <c r="G39" s="4">
        <v>320008000</v>
      </c>
      <c r="H39" s="4">
        <v>409760000</v>
      </c>
      <c r="I39" s="4">
        <v>555234000</v>
      </c>
      <c r="J39" s="4">
        <v>658559000</v>
      </c>
      <c r="K39" s="4">
        <v>705945000</v>
      </c>
      <c r="L39" s="4">
        <v>175835000</v>
      </c>
      <c r="M39" s="4">
        <v>985837000</v>
      </c>
      <c r="N39" s="4">
        <v>1242408000</v>
      </c>
      <c r="O39" s="5">
        <v>1262489000</v>
      </c>
      <c r="P39" s="4">
        <v>274585000</v>
      </c>
      <c r="Q39" s="4">
        <v>340751000</v>
      </c>
      <c r="R39" s="4">
        <v>347051000</v>
      </c>
      <c r="S39" s="4">
        <v>300102000</v>
      </c>
    </row>
    <row r="40" spans="1:19" ht="16" x14ac:dyDescent="0.2">
      <c r="A40" s="3" t="s">
        <v>47</v>
      </c>
      <c r="B40" s="4">
        <v>58959000</v>
      </c>
      <c r="C40" s="4">
        <v>61259000</v>
      </c>
      <c r="D40" s="4">
        <v>63250000</v>
      </c>
      <c r="E40" s="4">
        <v>63992000</v>
      </c>
      <c r="F40" s="4">
        <v>64335000</v>
      </c>
      <c r="G40" s="4">
        <v>63949000</v>
      </c>
      <c r="H40" s="4">
        <v>62519000</v>
      </c>
      <c r="I40" s="4">
        <v>61556000</v>
      </c>
      <c r="J40" s="4">
        <v>59864000</v>
      </c>
      <c r="K40" s="4">
        <v>57840000</v>
      </c>
      <c r="L40" s="4">
        <v>56351000</v>
      </c>
      <c r="M40" s="4">
        <v>54482000</v>
      </c>
      <c r="N40" s="4">
        <v>51403000</v>
      </c>
      <c r="O40" s="5">
        <v>50381000</v>
      </c>
      <c r="P40" s="4">
        <v>51131000</v>
      </c>
      <c r="Q40" s="4">
        <v>50623000</v>
      </c>
      <c r="R40" s="4">
        <v>50153000</v>
      </c>
      <c r="S40" s="4">
        <v>49617000</v>
      </c>
    </row>
    <row r="41" spans="1:19" ht="16" x14ac:dyDescent="0.2">
      <c r="A41" s="3" t="s">
        <v>48</v>
      </c>
      <c r="B41" s="6">
        <v>1.2</v>
      </c>
      <c r="C41" s="6">
        <v>1.96</v>
      </c>
      <c r="D41" s="6">
        <v>2.73</v>
      </c>
      <c r="E41" s="6">
        <v>3.17</v>
      </c>
      <c r="F41" s="4">
        <v>4</v>
      </c>
      <c r="G41" s="4">
        <v>5</v>
      </c>
      <c r="H41" s="6">
        <v>6.55</v>
      </c>
      <c r="I41" s="6">
        <v>9.02</v>
      </c>
      <c r="J41" s="4">
        <v>11</v>
      </c>
      <c r="K41" s="6">
        <v>12.21</v>
      </c>
      <c r="L41" s="6">
        <v>3.12</v>
      </c>
      <c r="M41" s="6">
        <v>18.09</v>
      </c>
      <c r="N41" s="6">
        <v>24.17</v>
      </c>
      <c r="O41" s="7">
        <v>25.06</v>
      </c>
      <c r="P41" s="6">
        <v>5.37</v>
      </c>
      <c r="Q41" s="6">
        <v>6.73</v>
      </c>
      <c r="R41" s="6">
        <v>6.92</v>
      </c>
      <c r="S41" s="6">
        <v>6.05</v>
      </c>
    </row>
    <row r="42" spans="1:19" ht="16" x14ac:dyDescent="0.2">
      <c r="A42" s="3" t="s">
        <v>49</v>
      </c>
      <c r="B42" s="6">
        <v>1.2</v>
      </c>
      <c r="C42" s="6">
        <v>1.96</v>
      </c>
      <c r="D42" s="6">
        <v>2.73</v>
      </c>
      <c r="E42" s="6">
        <v>3.17</v>
      </c>
      <c r="F42" s="4">
        <v>4</v>
      </c>
      <c r="G42" s="4">
        <v>5</v>
      </c>
      <c r="H42" s="6">
        <v>6.55</v>
      </c>
      <c r="I42" s="6">
        <v>9.02</v>
      </c>
      <c r="J42" s="4">
        <v>11</v>
      </c>
      <c r="K42" s="6">
        <v>12.21</v>
      </c>
      <c r="L42" s="6">
        <v>3.12</v>
      </c>
      <c r="M42" s="6">
        <v>18.09</v>
      </c>
      <c r="N42" s="6">
        <v>24.17</v>
      </c>
      <c r="O42" s="7">
        <v>25.06</v>
      </c>
      <c r="P42" s="6">
        <v>5.37</v>
      </c>
      <c r="Q42" s="6">
        <v>6.73</v>
      </c>
      <c r="R42" s="6">
        <v>6.92</v>
      </c>
      <c r="S42" s="6">
        <v>6.05</v>
      </c>
    </row>
    <row r="43" spans="1:19" ht="16" x14ac:dyDescent="0.2">
      <c r="A43" s="3" t="s">
        <v>50</v>
      </c>
      <c r="B43" s="4">
        <v>61288000</v>
      </c>
      <c r="C43" s="4">
        <v>63334000</v>
      </c>
      <c r="D43" s="4">
        <v>64396000</v>
      </c>
      <c r="E43" s="4">
        <v>64461000</v>
      </c>
      <c r="F43" s="4">
        <v>64651000</v>
      </c>
      <c r="G43" s="4">
        <v>64275000</v>
      </c>
      <c r="H43" s="4">
        <v>62851000</v>
      </c>
      <c r="I43" s="4">
        <v>61975000</v>
      </c>
      <c r="J43" s="4">
        <v>60181000</v>
      </c>
      <c r="K43" s="4">
        <v>58105000</v>
      </c>
      <c r="L43" s="4">
        <v>56558000</v>
      </c>
      <c r="M43" s="4">
        <v>54841000</v>
      </c>
      <c r="N43" s="4">
        <v>51738000</v>
      </c>
      <c r="O43" s="5">
        <v>50700500</v>
      </c>
      <c r="P43" s="4">
        <v>51418000</v>
      </c>
      <c r="Q43" s="4">
        <v>51066000</v>
      </c>
      <c r="R43" s="4">
        <v>50469000</v>
      </c>
      <c r="S43" s="4">
        <v>49849000</v>
      </c>
    </row>
    <row r="44" spans="1:19" ht="16" x14ac:dyDescent="0.2">
      <c r="A44" s="3" t="s">
        <v>51</v>
      </c>
      <c r="B44" s="6">
        <v>1.1599999999999999</v>
      </c>
      <c r="C44" s="6">
        <v>1.9</v>
      </c>
      <c r="D44" s="6">
        <v>2.68</v>
      </c>
      <c r="E44" s="6">
        <v>3.15</v>
      </c>
      <c r="F44" s="6">
        <v>3.98</v>
      </c>
      <c r="G44" s="6">
        <v>4.9800000000000004</v>
      </c>
      <c r="H44" s="6">
        <v>6.52</v>
      </c>
      <c r="I44" s="6">
        <v>8.9600000000000009</v>
      </c>
      <c r="J44" s="6">
        <v>10.94</v>
      </c>
      <c r="K44" s="6">
        <v>12.15</v>
      </c>
      <c r="L44" s="6">
        <v>3.11</v>
      </c>
      <c r="M44" s="6">
        <v>17.98</v>
      </c>
      <c r="N44" s="6">
        <v>24.01</v>
      </c>
      <c r="O44" s="7">
        <v>24.9</v>
      </c>
      <c r="P44" s="6">
        <v>5.34</v>
      </c>
      <c r="Q44" s="6">
        <v>6.67</v>
      </c>
      <c r="R44" s="6">
        <v>6.88</v>
      </c>
      <c r="S44" s="6">
        <v>6.02</v>
      </c>
    </row>
    <row r="45" spans="1:19" ht="16" x14ac:dyDescent="0.2">
      <c r="A45" s="3" t="s">
        <v>52</v>
      </c>
      <c r="B45" s="6">
        <v>1.1599999999999999</v>
      </c>
      <c r="C45" s="6">
        <v>1.9</v>
      </c>
      <c r="D45" s="6">
        <v>2.68</v>
      </c>
      <c r="E45" s="6">
        <v>3.15</v>
      </c>
      <c r="F45" s="6">
        <v>3.98</v>
      </c>
      <c r="G45" s="6">
        <v>4.9800000000000004</v>
      </c>
      <c r="H45" s="6">
        <v>6.52</v>
      </c>
      <c r="I45" s="6">
        <v>8.9600000000000009</v>
      </c>
      <c r="J45" s="6">
        <v>10.94</v>
      </c>
      <c r="K45" s="6">
        <v>12.15</v>
      </c>
      <c r="L45" s="6">
        <v>3.11</v>
      </c>
      <c r="M45" s="6">
        <v>17.98</v>
      </c>
      <c r="N45" s="6">
        <v>24.01</v>
      </c>
      <c r="O45" s="7">
        <v>24.9</v>
      </c>
      <c r="P45" s="6">
        <v>5.34</v>
      </c>
      <c r="Q45" s="6">
        <v>6.67</v>
      </c>
      <c r="R45" s="6">
        <v>6.88</v>
      </c>
      <c r="S45" s="6">
        <v>6.02</v>
      </c>
    </row>
    <row r="46" spans="1:19" ht="16" x14ac:dyDescent="0.2">
      <c r="A46" s="3" t="s">
        <v>53</v>
      </c>
      <c r="B46" s="4">
        <v>183820000</v>
      </c>
      <c r="C46" s="4">
        <v>272126000</v>
      </c>
      <c r="D46" s="4">
        <v>368211000</v>
      </c>
      <c r="E46" s="4">
        <v>433871000</v>
      </c>
      <c r="F46" s="4">
        <v>542179000</v>
      </c>
      <c r="G46" s="4">
        <v>671346000</v>
      </c>
      <c r="H46" s="4">
        <v>865119000</v>
      </c>
      <c r="I46" s="4">
        <v>1038004000</v>
      </c>
      <c r="J46" s="4">
        <v>1133552000</v>
      </c>
      <c r="K46" s="4">
        <v>1196693000</v>
      </c>
      <c r="L46" s="4">
        <v>648914000</v>
      </c>
      <c r="M46" s="4">
        <v>1565952000</v>
      </c>
      <c r="N46" s="4">
        <v>1879982000</v>
      </c>
      <c r="O46" s="5">
        <v>1880699000</v>
      </c>
      <c r="P46" s="4">
        <v>420317000</v>
      </c>
      <c r="Q46" s="4">
        <v>506808000</v>
      </c>
      <c r="R46" s="4">
        <v>500019000</v>
      </c>
      <c r="S46" s="4">
        <v>453555000</v>
      </c>
    </row>
    <row r="47" spans="1:19" ht="16" x14ac:dyDescent="0.2">
      <c r="A47" s="3" t="s">
        <v>54</v>
      </c>
      <c r="B47" s="6">
        <v>12.64</v>
      </c>
      <c r="C47" s="6">
        <v>15.32</v>
      </c>
      <c r="D47" s="6">
        <v>16.579999999999998</v>
      </c>
      <c r="E47" s="6">
        <v>16.25</v>
      </c>
      <c r="F47" s="6">
        <v>16.73</v>
      </c>
      <c r="G47" s="6">
        <v>17.11</v>
      </c>
      <c r="H47" s="6">
        <v>17.82</v>
      </c>
      <c r="I47" s="6">
        <v>17.64</v>
      </c>
      <c r="J47" s="6">
        <v>16.88</v>
      </c>
      <c r="K47" s="6">
        <v>16.18</v>
      </c>
      <c r="L47" s="6">
        <v>10.55</v>
      </c>
      <c r="M47" s="6">
        <v>18.14</v>
      </c>
      <c r="N47" s="6">
        <v>18.420000000000002</v>
      </c>
      <c r="O47" s="7">
        <v>17.53</v>
      </c>
      <c r="P47" s="6">
        <v>18.66</v>
      </c>
      <c r="Q47" s="6">
        <v>18.420000000000002</v>
      </c>
      <c r="R47" s="6">
        <v>17.899999999999999</v>
      </c>
      <c r="S47" s="6">
        <v>17.53</v>
      </c>
    </row>
    <row r="48" spans="1:19" ht="16" x14ac:dyDescent="0.2">
      <c r="A48" s="3" t="s">
        <v>55</v>
      </c>
      <c r="B48" s="4">
        <v>118884000</v>
      </c>
      <c r="C48" s="4">
        <v>196195000</v>
      </c>
      <c r="D48" s="4">
        <v>279978000</v>
      </c>
      <c r="E48" s="4">
        <v>327588000</v>
      </c>
      <c r="F48" s="4">
        <v>410415000</v>
      </c>
      <c r="G48" s="4">
        <v>506297000</v>
      </c>
      <c r="H48" s="4">
        <v>654824000</v>
      </c>
      <c r="I48" s="4">
        <v>785291000</v>
      </c>
      <c r="J48" s="4">
        <v>854080000</v>
      </c>
      <c r="K48" s="4">
        <v>901094000</v>
      </c>
      <c r="L48" s="4">
        <v>351142000</v>
      </c>
      <c r="M48" s="4">
        <v>1297492000</v>
      </c>
      <c r="N48" s="4">
        <v>1638610000</v>
      </c>
      <c r="O48" s="5">
        <v>1643186000</v>
      </c>
      <c r="P48" s="4">
        <v>361856000</v>
      </c>
      <c r="Q48" s="4">
        <v>447618000</v>
      </c>
      <c r="R48" s="4">
        <v>442070000</v>
      </c>
      <c r="S48" s="4">
        <v>391642000</v>
      </c>
    </row>
    <row r="49" spans="1:19" ht="16" x14ac:dyDescent="0.2">
      <c r="A49" s="3" t="s">
        <v>56</v>
      </c>
      <c r="B49" s="4">
        <v>118884000</v>
      </c>
      <c r="C49" s="4">
        <v>196195000</v>
      </c>
      <c r="D49" s="4">
        <v>279978000</v>
      </c>
      <c r="E49" s="4">
        <v>327588000</v>
      </c>
      <c r="F49" s="4">
        <v>410415000</v>
      </c>
      <c r="G49" s="4">
        <v>506297000</v>
      </c>
      <c r="H49" s="4">
        <v>654824000</v>
      </c>
      <c r="I49" s="4">
        <v>785291000</v>
      </c>
      <c r="J49" s="4">
        <v>854080000</v>
      </c>
      <c r="K49" s="4">
        <v>901094000</v>
      </c>
      <c r="L49" s="4">
        <v>351142000</v>
      </c>
      <c r="M49" s="4">
        <v>1297492000</v>
      </c>
      <c r="N49" s="4">
        <v>1638610000</v>
      </c>
      <c r="O49" s="5">
        <v>1643186000</v>
      </c>
      <c r="P49" s="4">
        <v>361856000</v>
      </c>
      <c r="Q49" s="4">
        <v>447618000</v>
      </c>
      <c r="R49" s="4">
        <v>442070000</v>
      </c>
      <c r="S49" s="4">
        <v>391642000</v>
      </c>
    </row>
    <row r="50" spans="1:19" ht="16" x14ac:dyDescent="0.2">
      <c r="A50" s="3" t="s">
        <v>60</v>
      </c>
      <c r="B50" s="4">
        <v>124345</v>
      </c>
      <c r="C50" s="4">
        <v>126868</v>
      </c>
      <c r="D50" s="4" t="s">
        <v>23</v>
      </c>
      <c r="E50" s="4" t="s">
        <v>23</v>
      </c>
      <c r="F50" s="4">
        <v>144704</v>
      </c>
      <c r="G50" s="4">
        <v>148080</v>
      </c>
      <c r="H50" s="4">
        <v>152665</v>
      </c>
      <c r="I50" s="4" t="s">
        <v>23</v>
      </c>
      <c r="J50" s="4" t="s">
        <v>23</v>
      </c>
      <c r="K50" s="4" t="s">
        <v>23</v>
      </c>
      <c r="L50" s="4">
        <v>166269</v>
      </c>
      <c r="M50" s="4">
        <v>213108</v>
      </c>
      <c r="N50" s="4">
        <v>192615</v>
      </c>
      <c r="O50" s="5">
        <v>202446</v>
      </c>
      <c r="P50" s="4">
        <v>57748</v>
      </c>
      <c r="Q50" s="4">
        <v>60883</v>
      </c>
      <c r="R50" s="4">
        <v>49703</v>
      </c>
      <c r="S50" s="4">
        <v>47732</v>
      </c>
    </row>
    <row r="51" spans="1:19" ht="16" x14ac:dyDescent="0.2">
      <c r="A51" s="3" t="s">
        <v>61</v>
      </c>
      <c r="B51" s="4" t="s">
        <v>23</v>
      </c>
      <c r="C51" s="4" t="s">
        <v>23</v>
      </c>
      <c r="D51" s="6">
        <v>0.99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  <c r="O51" s="5" t="s">
        <v>23</v>
      </c>
      <c r="P51" s="4" t="s">
        <v>23</v>
      </c>
      <c r="Q51" s="4" t="s">
        <v>23</v>
      </c>
      <c r="R51" s="4" t="s">
        <v>23</v>
      </c>
      <c r="S51" s="4" t="s">
        <v>23</v>
      </c>
    </row>
    <row r="52" spans="1:19" ht="16" x14ac:dyDescent="0.2">
      <c r="A52" s="3" t="s">
        <v>62</v>
      </c>
      <c r="B52" s="4">
        <v>64936000</v>
      </c>
      <c r="C52" s="4">
        <v>75931000</v>
      </c>
      <c r="D52" s="4">
        <v>88233000</v>
      </c>
      <c r="E52" s="4">
        <v>106283000</v>
      </c>
      <c r="F52" s="4">
        <v>131764000</v>
      </c>
      <c r="G52" s="4">
        <v>165049000</v>
      </c>
      <c r="H52" s="4">
        <v>210295000</v>
      </c>
      <c r="I52" s="4">
        <v>252713000</v>
      </c>
      <c r="J52" s="4">
        <v>279472000</v>
      </c>
      <c r="K52" s="4">
        <v>295599000</v>
      </c>
      <c r="L52" s="4">
        <v>297772000</v>
      </c>
      <c r="M52" s="4">
        <v>268460000</v>
      </c>
      <c r="N52" s="4">
        <v>241372000</v>
      </c>
      <c r="O52" s="5">
        <v>237513000</v>
      </c>
      <c r="P52" s="4">
        <v>58461000</v>
      </c>
      <c r="Q52" s="4">
        <v>59190000</v>
      </c>
      <c r="R52" s="4">
        <v>57949000</v>
      </c>
      <c r="S52" s="4">
        <v>61913000</v>
      </c>
    </row>
    <row r="54" spans="1:19" ht="16" x14ac:dyDescent="0.2">
      <c r="A54" s="2" t="s">
        <v>23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190</v>
      </c>
      <c r="S54" s="2" t="s">
        <v>16</v>
      </c>
    </row>
    <row r="55" spans="1:19" ht="16" x14ac:dyDescent="0.2">
      <c r="A55" s="3" t="s">
        <v>63</v>
      </c>
      <c r="B55" s="4">
        <v>404389000</v>
      </c>
      <c r="C55" s="4">
        <v>580232000</v>
      </c>
      <c r="D55" s="4">
        <v>789324000</v>
      </c>
      <c r="E55" s="4">
        <v>1002697000</v>
      </c>
      <c r="F55" s="4">
        <v>1260355000</v>
      </c>
      <c r="G55" s="4">
        <v>1375173000</v>
      </c>
      <c r="H55" s="4">
        <v>1536237000</v>
      </c>
      <c r="I55" s="4">
        <v>1693743000</v>
      </c>
      <c r="J55" s="4">
        <v>1914861000</v>
      </c>
      <c r="K55" s="4">
        <v>2055317000</v>
      </c>
      <c r="L55" s="4">
        <v>2514777000</v>
      </c>
      <c r="M55" s="4">
        <v>2281183000</v>
      </c>
      <c r="N55" s="4">
        <v>2709304000</v>
      </c>
      <c r="O55" s="5">
        <v>2519248000</v>
      </c>
      <c r="P55" s="4">
        <v>2745815000</v>
      </c>
      <c r="Q55" s="4">
        <v>2709304000</v>
      </c>
      <c r="R55" s="4">
        <v>2685980000</v>
      </c>
      <c r="S55" s="4">
        <v>2519248000</v>
      </c>
    </row>
    <row r="56" spans="1:19" ht="16" x14ac:dyDescent="0.2">
      <c r="A56" s="3" t="s">
        <v>64</v>
      </c>
      <c r="B56" s="4">
        <v>111185000</v>
      </c>
      <c r="C56" s="4">
        <v>253738000</v>
      </c>
      <c r="D56" s="4">
        <v>320475000</v>
      </c>
      <c r="E56" s="4">
        <v>419476000</v>
      </c>
      <c r="F56" s="4">
        <v>539358000</v>
      </c>
      <c r="G56" s="4">
        <v>475840000</v>
      </c>
      <c r="H56" s="4">
        <v>415010000</v>
      </c>
      <c r="I56" s="4">
        <v>397445000</v>
      </c>
      <c r="J56" s="4">
        <v>409251000</v>
      </c>
      <c r="K56" s="4">
        <v>502325000</v>
      </c>
      <c r="L56" s="4">
        <v>1046051000</v>
      </c>
      <c r="M56" s="4">
        <v>431560000</v>
      </c>
      <c r="N56" s="4">
        <v>737877000</v>
      </c>
      <c r="O56" s="5">
        <v>388627000</v>
      </c>
      <c r="P56" s="4">
        <v>250628000</v>
      </c>
      <c r="Q56" s="4">
        <v>737877000</v>
      </c>
      <c r="R56" s="4">
        <v>636449000</v>
      </c>
      <c r="S56" s="4">
        <v>388627000</v>
      </c>
    </row>
    <row r="57" spans="1:19" ht="16" x14ac:dyDescent="0.2">
      <c r="A57" s="3" t="s">
        <v>65</v>
      </c>
      <c r="B57" s="4">
        <v>111185000</v>
      </c>
      <c r="C57" s="4">
        <v>253738000</v>
      </c>
      <c r="D57" s="4">
        <v>320475000</v>
      </c>
      <c r="E57" s="4">
        <v>419476000</v>
      </c>
      <c r="F57" s="4">
        <v>389149000</v>
      </c>
      <c r="G57" s="4">
        <v>345840000</v>
      </c>
      <c r="H57" s="4">
        <v>385010000</v>
      </c>
      <c r="I57" s="4">
        <v>277445000</v>
      </c>
      <c r="J57" s="4">
        <v>409251000</v>
      </c>
      <c r="K57" s="4">
        <v>392325000</v>
      </c>
      <c r="L57" s="4">
        <v>1046051000</v>
      </c>
      <c r="M57" s="4">
        <v>431560000</v>
      </c>
      <c r="N57" s="4">
        <v>737877000</v>
      </c>
      <c r="O57" s="5">
        <v>388627000</v>
      </c>
      <c r="P57" s="4">
        <v>250628000</v>
      </c>
      <c r="Q57" s="4">
        <v>737877000</v>
      </c>
      <c r="R57" s="4">
        <v>636449000</v>
      </c>
      <c r="S57" s="4">
        <v>388627000</v>
      </c>
    </row>
    <row r="58" spans="1:19" ht="16" x14ac:dyDescent="0.2">
      <c r="A58" s="3" t="s">
        <v>66</v>
      </c>
      <c r="B58" s="4" t="s">
        <v>23</v>
      </c>
      <c r="C58" s="4" t="s">
        <v>23</v>
      </c>
      <c r="D58" s="4" t="s">
        <v>23</v>
      </c>
      <c r="E58" s="4" t="s">
        <v>23</v>
      </c>
      <c r="F58" s="4">
        <v>150209000</v>
      </c>
      <c r="G58" s="4">
        <v>130000000</v>
      </c>
      <c r="H58" s="4">
        <v>30000000</v>
      </c>
      <c r="I58" s="4">
        <v>120000000</v>
      </c>
      <c r="J58" s="4" t="s">
        <v>23</v>
      </c>
      <c r="K58" s="4">
        <v>110000000</v>
      </c>
      <c r="L58" s="4" t="s">
        <v>23</v>
      </c>
      <c r="M58" s="4" t="s">
        <v>23</v>
      </c>
      <c r="N58" s="4" t="s">
        <v>23</v>
      </c>
      <c r="O58" s="5" t="s">
        <v>23</v>
      </c>
      <c r="P58" s="4" t="s">
        <v>23</v>
      </c>
      <c r="Q58" s="4" t="s">
        <v>23</v>
      </c>
      <c r="R58" s="4" t="s">
        <v>23</v>
      </c>
      <c r="S58" s="4" t="s">
        <v>23</v>
      </c>
    </row>
    <row r="59" spans="1:19" ht="16" x14ac:dyDescent="0.2">
      <c r="A59" s="3" t="s">
        <v>67</v>
      </c>
      <c r="B59" s="4">
        <v>22292000</v>
      </c>
      <c r="C59" s="4">
        <v>26153000</v>
      </c>
      <c r="D59" s="4">
        <v>41515000</v>
      </c>
      <c r="E59" s="4">
        <v>47049000</v>
      </c>
      <c r="F59" s="4">
        <v>52440000</v>
      </c>
      <c r="G59" s="4">
        <v>64992000</v>
      </c>
      <c r="H59" s="4">
        <v>88631000</v>
      </c>
      <c r="I59" s="4">
        <v>99719000</v>
      </c>
      <c r="J59" s="4">
        <v>136168000</v>
      </c>
      <c r="K59" s="4">
        <v>139337000</v>
      </c>
      <c r="L59" s="4">
        <v>193109000</v>
      </c>
      <c r="M59" s="4">
        <v>233682000</v>
      </c>
      <c r="N59" s="4">
        <v>199422000</v>
      </c>
      <c r="O59" s="5">
        <v>174444000</v>
      </c>
      <c r="P59" s="4">
        <v>200304000</v>
      </c>
      <c r="Q59" s="4">
        <v>199422000</v>
      </c>
      <c r="R59" s="4">
        <v>190282000</v>
      </c>
      <c r="S59" s="4">
        <v>174444000</v>
      </c>
    </row>
    <row r="60" spans="1:19" ht="16" x14ac:dyDescent="0.2">
      <c r="A60" s="3" t="s">
        <v>68</v>
      </c>
      <c r="B60" s="4">
        <v>22292000</v>
      </c>
      <c r="C60" s="4">
        <v>26153000</v>
      </c>
      <c r="D60" s="4">
        <v>41515000</v>
      </c>
      <c r="E60" s="4">
        <v>47049000</v>
      </c>
      <c r="F60" s="4">
        <v>52440000</v>
      </c>
      <c r="G60" s="4">
        <v>64992000</v>
      </c>
      <c r="H60" s="4">
        <v>88631000</v>
      </c>
      <c r="I60" s="4">
        <v>99719000</v>
      </c>
      <c r="J60" s="4">
        <v>136168000</v>
      </c>
      <c r="K60" s="4">
        <v>139337000</v>
      </c>
      <c r="L60" s="4">
        <v>193109000</v>
      </c>
      <c r="M60" s="4">
        <v>233682000</v>
      </c>
      <c r="N60" s="4">
        <v>199422000</v>
      </c>
      <c r="O60" s="5">
        <v>174444000</v>
      </c>
      <c r="P60" s="4">
        <v>200304000</v>
      </c>
      <c r="Q60" s="4">
        <v>199422000</v>
      </c>
      <c r="R60" s="4">
        <v>190282000</v>
      </c>
      <c r="S60" s="4">
        <v>174444000</v>
      </c>
    </row>
    <row r="61" spans="1:19" ht="16" x14ac:dyDescent="0.2">
      <c r="A61" s="3" t="s">
        <v>69</v>
      </c>
      <c r="B61" s="4" t="s">
        <v>23</v>
      </c>
      <c r="C61" s="4" t="s">
        <v>23</v>
      </c>
      <c r="D61" s="4" t="s">
        <v>23</v>
      </c>
      <c r="E61" s="4" t="s">
        <v>23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  <c r="O61" s="5" t="s">
        <v>23</v>
      </c>
      <c r="P61" s="4" t="s">
        <v>23</v>
      </c>
      <c r="Q61" s="4" t="s">
        <v>23</v>
      </c>
      <c r="R61" s="4" t="s">
        <v>23</v>
      </c>
      <c r="S61" s="4" t="s">
        <v>23</v>
      </c>
    </row>
    <row r="62" spans="1:19" ht="16" x14ac:dyDescent="0.2">
      <c r="A62" s="3" t="s">
        <v>70</v>
      </c>
      <c r="B62" s="4" t="s">
        <v>23</v>
      </c>
      <c r="C62" s="4" t="s">
        <v>23</v>
      </c>
      <c r="D62" s="4" t="s">
        <v>23</v>
      </c>
      <c r="E62" s="4" t="s">
        <v>23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5" t="s">
        <v>23</v>
      </c>
      <c r="P62" s="4" t="s">
        <v>23</v>
      </c>
      <c r="Q62" s="4" t="s">
        <v>23</v>
      </c>
      <c r="R62" s="4" t="s">
        <v>23</v>
      </c>
      <c r="S62" s="4" t="s">
        <v>23</v>
      </c>
    </row>
    <row r="63" spans="1:19" ht="16" x14ac:dyDescent="0.2">
      <c r="A63" s="3" t="s">
        <v>71</v>
      </c>
      <c r="B63" s="4" t="s">
        <v>23</v>
      </c>
      <c r="C63" s="4" t="s">
        <v>23</v>
      </c>
      <c r="D63" s="4" t="s">
        <v>23</v>
      </c>
      <c r="E63" s="4" t="s">
        <v>23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4" t="s">
        <v>23</v>
      </c>
      <c r="L63" s="4" t="s">
        <v>23</v>
      </c>
      <c r="M63" s="4" t="s">
        <v>23</v>
      </c>
      <c r="N63" s="4" t="s">
        <v>23</v>
      </c>
      <c r="O63" s="5" t="s">
        <v>23</v>
      </c>
      <c r="P63" s="4" t="s">
        <v>23</v>
      </c>
      <c r="Q63" s="4" t="s">
        <v>23</v>
      </c>
      <c r="R63" s="4" t="s">
        <v>23</v>
      </c>
      <c r="S63" s="4" t="s">
        <v>23</v>
      </c>
    </row>
    <row r="64" spans="1:19" ht="16" x14ac:dyDescent="0.2">
      <c r="A64" s="3" t="s">
        <v>72</v>
      </c>
      <c r="B64" s="4">
        <v>218516000</v>
      </c>
      <c r="C64" s="4">
        <v>244647000</v>
      </c>
      <c r="D64" s="4">
        <v>361125000</v>
      </c>
      <c r="E64" s="4">
        <v>457933000</v>
      </c>
      <c r="F64" s="4">
        <v>581229000</v>
      </c>
      <c r="G64" s="4">
        <v>761793000</v>
      </c>
      <c r="H64" s="4">
        <v>943975000</v>
      </c>
      <c r="I64" s="4">
        <v>1096424000</v>
      </c>
      <c r="J64" s="4">
        <v>1214329000</v>
      </c>
      <c r="K64" s="4">
        <v>1293701000</v>
      </c>
      <c r="L64" s="4">
        <v>1168215000</v>
      </c>
      <c r="M64" s="4">
        <v>1499218000</v>
      </c>
      <c r="N64" s="4">
        <v>1603451000</v>
      </c>
      <c r="O64" s="5">
        <v>1815539000</v>
      </c>
      <c r="P64" s="4">
        <v>2114669000</v>
      </c>
      <c r="Q64" s="4">
        <v>1603451000</v>
      </c>
      <c r="R64" s="4">
        <v>1751235000</v>
      </c>
      <c r="S64" s="4">
        <v>1815539000</v>
      </c>
    </row>
    <row r="65" spans="1:19" ht="16" x14ac:dyDescent="0.2">
      <c r="A65" s="3" t="s">
        <v>73</v>
      </c>
      <c r="B65" s="4" t="s">
        <v>23</v>
      </c>
      <c r="C65" s="4" t="s">
        <v>23</v>
      </c>
      <c r="D65" s="4" t="s">
        <v>23</v>
      </c>
      <c r="E65" s="4" t="s">
        <v>23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5" t="s">
        <v>23</v>
      </c>
      <c r="P65" s="4" t="s">
        <v>23</v>
      </c>
      <c r="Q65" s="4" t="s">
        <v>23</v>
      </c>
      <c r="R65" s="4" t="s">
        <v>23</v>
      </c>
      <c r="S65" s="4" t="s">
        <v>23</v>
      </c>
    </row>
    <row r="66" spans="1:19" ht="16" x14ac:dyDescent="0.2">
      <c r="A66" s="3" t="s">
        <v>74</v>
      </c>
      <c r="B66" s="4" t="s">
        <v>23</v>
      </c>
      <c r="C66" s="4" t="s">
        <v>23</v>
      </c>
      <c r="D66" s="4" t="s">
        <v>23</v>
      </c>
      <c r="E66" s="4" t="s">
        <v>23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5" t="s">
        <v>23</v>
      </c>
      <c r="P66" s="4" t="s">
        <v>23</v>
      </c>
      <c r="Q66" s="4" t="s">
        <v>23</v>
      </c>
      <c r="R66" s="4" t="s">
        <v>23</v>
      </c>
      <c r="S66" s="4" t="s">
        <v>23</v>
      </c>
    </row>
    <row r="67" spans="1:19" ht="16" x14ac:dyDescent="0.2">
      <c r="A67" s="3" t="s">
        <v>75</v>
      </c>
      <c r="B67" s="4">
        <v>218516000</v>
      </c>
      <c r="C67" s="4">
        <v>244647000</v>
      </c>
      <c r="D67" s="4">
        <v>361125000</v>
      </c>
      <c r="E67" s="4">
        <v>457933000</v>
      </c>
      <c r="F67" s="4">
        <v>581229000</v>
      </c>
      <c r="G67" s="4">
        <v>761793000</v>
      </c>
      <c r="H67" s="4">
        <v>943975000</v>
      </c>
      <c r="I67" s="4">
        <v>1096424000</v>
      </c>
      <c r="J67" s="4">
        <v>1214329000</v>
      </c>
      <c r="K67" s="4">
        <v>1293701000</v>
      </c>
      <c r="L67" s="4">
        <v>1168215000</v>
      </c>
      <c r="M67" s="4">
        <v>1499218000</v>
      </c>
      <c r="N67" s="4">
        <v>1603451000</v>
      </c>
      <c r="O67" s="5">
        <v>1815539000</v>
      </c>
      <c r="P67" s="4">
        <v>2114669000</v>
      </c>
      <c r="Q67" s="4">
        <v>1603451000</v>
      </c>
      <c r="R67" s="4">
        <v>1751235000</v>
      </c>
      <c r="S67" s="4">
        <v>1815539000</v>
      </c>
    </row>
    <row r="68" spans="1:19" ht="16" x14ac:dyDescent="0.2">
      <c r="A68" s="3" t="s">
        <v>76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5" t="s">
        <v>23</v>
      </c>
      <c r="P68" s="4" t="s">
        <v>23</v>
      </c>
      <c r="Q68" s="4" t="s">
        <v>23</v>
      </c>
      <c r="R68" s="4" t="s">
        <v>23</v>
      </c>
      <c r="S68" s="4" t="s">
        <v>23</v>
      </c>
    </row>
    <row r="69" spans="1:19" ht="16" x14ac:dyDescent="0.2">
      <c r="A69" s="3" t="s">
        <v>77</v>
      </c>
      <c r="B69" s="4" t="s">
        <v>23</v>
      </c>
      <c r="C69" s="4" t="s">
        <v>23</v>
      </c>
      <c r="D69" s="4" t="s">
        <v>23</v>
      </c>
      <c r="E69" s="4" t="s">
        <v>23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23</v>
      </c>
      <c r="O69" s="5" t="s">
        <v>23</v>
      </c>
      <c r="P69" s="4" t="s">
        <v>23</v>
      </c>
      <c r="Q69" s="4" t="s">
        <v>23</v>
      </c>
      <c r="R69" s="4" t="s">
        <v>23</v>
      </c>
      <c r="S69" s="4" t="s">
        <v>23</v>
      </c>
    </row>
    <row r="70" spans="1:19" ht="16" x14ac:dyDescent="0.2">
      <c r="A70" s="3" t="s">
        <v>78</v>
      </c>
      <c r="B70" s="4">
        <v>52396000</v>
      </c>
      <c r="C70" s="4">
        <v>55694000</v>
      </c>
      <c r="D70" s="4">
        <v>66209000</v>
      </c>
      <c r="E70" s="4">
        <v>78239000</v>
      </c>
      <c r="F70" s="4">
        <v>87328000</v>
      </c>
      <c r="G70" s="4">
        <v>72548000</v>
      </c>
      <c r="H70" s="4">
        <v>88621000</v>
      </c>
      <c r="I70" s="4">
        <v>100155000</v>
      </c>
      <c r="J70" s="4">
        <v>155113000</v>
      </c>
      <c r="K70" s="4">
        <v>119954000</v>
      </c>
      <c r="L70" s="4">
        <v>107402000</v>
      </c>
      <c r="M70" s="4">
        <v>116723000</v>
      </c>
      <c r="N70" s="4">
        <v>168554000</v>
      </c>
      <c r="O70" s="5">
        <v>140638000</v>
      </c>
      <c r="P70" s="4">
        <v>180214000</v>
      </c>
      <c r="Q70" s="4">
        <v>168554000</v>
      </c>
      <c r="R70" s="4">
        <v>108014000</v>
      </c>
      <c r="S70" s="4">
        <v>140638000</v>
      </c>
    </row>
    <row r="71" spans="1:19" ht="16" x14ac:dyDescent="0.2">
      <c r="A71" s="3" t="s">
        <v>79</v>
      </c>
      <c r="B71" s="4" t="s">
        <v>23</v>
      </c>
      <c r="C71" s="4" t="s">
        <v>23</v>
      </c>
      <c r="D71" s="4" t="s">
        <v>23</v>
      </c>
      <c r="E71" s="4" t="s">
        <v>23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  <c r="O71" s="5" t="s">
        <v>23</v>
      </c>
      <c r="P71" s="4" t="s">
        <v>23</v>
      </c>
      <c r="Q71" s="4" t="s">
        <v>23</v>
      </c>
      <c r="R71" s="4" t="s">
        <v>23</v>
      </c>
      <c r="S71" s="4" t="s">
        <v>23</v>
      </c>
    </row>
    <row r="72" spans="1:19" ht="16" x14ac:dyDescent="0.2">
      <c r="A72" s="3" t="s">
        <v>80</v>
      </c>
      <c r="B72" s="4" t="s">
        <v>23</v>
      </c>
      <c r="C72" s="4" t="s">
        <v>23</v>
      </c>
      <c r="D72" s="4" t="s">
        <v>23</v>
      </c>
      <c r="E72" s="4" t="s">
        <v>23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4" t="s">
        <v>23</v>
      </c>
      <c r="L72" s="4" t="s">
        <v>23</v>
      </c>
      <c r="M72" s="4" t="s">
        <v>23</v>
      </c>
      <c r="N72" s="4" t="s">
        <v>23</v>
      </c>
      <c r="O72" s="5" t="s">
        <v>23</v>
      </c>
      <c r="P72" s="4" t="s">
        <v>23</v>
      </c>
      <c r="Q72" s="4" t="s">
        <v>23</v>
      </c>
      <c r="R72" s="4" t="s">
        <v>23</v>
      </c>
      <c r="S72" s="4" t="s">
        <v>23</v>
      </c>
    </row>
    <row r="73" spans="1:19" ht="16" x14ac:dyDescent="0.2">
      <c r="A73" s="3" t="s">
        <v>81</v>
      </c>
      <c r="B73" s="4" t="s">
        <v>23</v>
      </c>
      <c r="C73" s="4" t="s">
        <v>23</v>
      </c>
      <c r="D73" s="4" t="s">
        <v>23</v>
      </c>
      <c r="E73" s="4" t="s">
        <v>23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4" t="s">
        <v>23</v>
      </c>
      <c r="L73" s="4" t="s">
        <v>23</v>
      </c>
      <c r="M73" s="4" t="s">
        <v>23</v>
      </c>
      <c r="N73" s="4" t="s">
        <v>23</v>
      </c>
      <c r="O73" s="5" t="s">
        <v>23</v>
      </c>
      <c r="P73" s="4" t="s">
        <v>23</v>
      </c>
      <c r="Q73" s="4" t="s">
        <v>23</v>
      </c>
      <c r="R73" s="4" t="s">
        <v>23</v>
      </c>
      <c r="S73" s="4" t="s">
        <v>23</v>
      </c>
    </row>
    <row r="74" spans="1:19" ht="16" x14ac:dyDescent="0.2">
      <c r="A74" s="3" t="s">
        <v>82</v>
      </c>
      <c r="B74" s="4" t="s">
        <v>23</v>
      </c>
      <c r="C74" s="4" t="s">
        <v>23</v>
      </c>
      <c r="D74" s="4" t="s">
        <v>23</v>
      </c>
      <c r="E74" s="4" t="s">
        <v>23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5" t="s">
        <v>23</v>
      </c>
      <c r="P74" s="4" t="s">
        <v>23</v>
      </c>
      <c r="Q74" s="4" t="s">
        <v>23</v>
      </c>
      <c r="R74" s="4" t="s">
        <v>23</v>
      </c>
      <c r="S74" s="4" t="s">
        <v>23</v>
      </c>
    </row>
    <row r="75" spans="1:19" ht="16" x14ac:dyDescent="0.2">
      <c r="A75" s="3" t="s">
        <v>83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  <c r="O75" s="5" t="s">
        <v>23</v>
      </c>
      <c r="P75" s="4" t="s">
        <v>23</v>
      </c>
      <c r="Q75" s="4" t="s">
        <v>23</v>
      </c>
      <c r="R75" s="4" t="s">
        <v>23</v>
      </c>
      <c r="S75" s="4" t="s">
        <v>23</v>
      </c>
    </row>
    <row r="76" spans="1:19" ht="16" x14ac:dyDescent="0.2">
      <c r="A76" s="3" t="s">
        <v>84</v>
      </c>
      <c r="B76" s="4">
        <v>326099000</v>
      </c>
      <c r="C76" s="4">
        <v>376985000</v>
      </c>
      <c r="D76" s="4">
        <v>485925000</v>
      </c>
      <c r="E76" s="4">
        <v>600030000</v>
      </c>
      <c r="F76" s="4">
        <v>722815000</v>
      </c>
      <c r="G76" s="4">
        <v>855745000</v>
      </c>
      <c r="H76" s="4">
        <v>1015641000</v>
      </c>
      <c r="I76" s="4">
        <v>1214944000</v>
      </c>
      <c r="J76" s="4">
        <v>1276311000</v>
      </c>
      <c r="K76" s="4">
        <v>2808555000</v>
      </c>
      <c r="L76" s="4">
        <v>2575192000</v>
      </c>
      <c r="M76" s="4">
        <v>2483196000</v>
      </c>
      <c r="N76" s="4">
        <v>2661107000</v>
      </c>
      <c r="O76" s="5">
        <v>2729512000</v>
      </c>
      <c r="P76" s="4">
        <v>2585734000</v>
      </c>
      <c r="Q76" s="4">
        <v>2661107000</v>
      </c>
      <c r="R76" s="4">
        <v>2689739000</v>
      </c>
      <c r="S76" s="4">
        <v>2729512000</v>
      </c>
    </row>
    <row r="77" spans="1:19" ht="16" x14ac:dyDescent="0.2">
      <c r="A77" s="3" t="s">
        <v>85</v>
      </c>
      <c r="B77" s="4">
        <v>326099000</v>
      </c>
      <c r="C77" s="4">
        <v>376985000</v>
      </c>
      <c r="D77" s="4">
        <v>483059000</v>
      </c>
      <c r="E77" s="4">
        <v>595736000</v>
      </c>
      <c r="F77" s="4">
        <v>717159000</v>
      </c>
      <c r="G77" s="4">
        <v>847600000</v>
      </c>
      <c r="H77" s="4">
        <v>1004358000</v>
      </c>
      <c r="I77" s="4">
        <v>1189453000</v>
      </c>
      <c r="J77" s="4">
        <v>1226029000</v>
      </c>
      <c r="K77" s="4">
        <v>1382773000</v>
      </c>
      <c r="L77" s="4">
        <v>928388000</v>
      </c>
      <c r="M77" s="4">
        <v>678197000</v>
      </c>
      <c r="N77" s="4">
        <v>716630000</v>
      </c>
      <c r="O77" s="5">
        <v>2622290000</v>
      </c>
      <c r="P77" s="4">
        <v>2523979000</v>
      </c>
      <c r="Q77" s="4">
        <v>716630000</v>
      </c>
      <c r="R77" s="4">
        <v>2579538000</v>
      </c>
      <c r="S77" s="4">
        <v>2622290000</v>
      </c>
    </row>
    <row r="78" spans="1:19" ht="16" x14ac:dyDescent="0.2">
      <c r="A78" s="3" t="s">
        <v>86</v>
      </c>
      <c r="B78" s="4">
        <v>579799000</v>
      </c>
      <c r="C78" s="4">
        <v>673354000</v>
      </c>
      <c r="D78" s="4">
        <v>838390000</v>
      </c>
      <c r="E78" s="4">
        <v>1022656000</v>
      </c>
      <c r="F78" s="4">
        <v>1243249000</v>
      </c>
      <c r="G78" s="4">
        <v>1501955000</v>
      </c>
      <c r="H78" s="4">
        <v>1803117000</v>
      </c>
      <c r="I78" s="4">
        <v>2148661000</v>
      </c>
      <c r="J78" s="4">
        <v>2375136000</v>
      </c>
      <c r="K78" s="4">
        <v>2743089000</v>
      </c>
      <c r="L78" s="4">
        <v>2500409000</v>
      </c>
      <c r="M78" s="4">
        <v>2396732000</v>
      </c>
      <c r="N78" s="4">
        <v>2570536000</v>
      </c>
      <c r="O78" s="5">
        <v>2622290000</v>
      </c>
      <c r="P78" s="4">
        <v>2523979000</v>
      </c>
      <c r="Q78" s="4">
        <v>2570536000</v>
      </c>
      <c r="R78" s="4">
        <v>2579538000</v>
      </c>
      <c r="S78" s="4">
        <v>2622290000</v>
      </c>
    </row>
    <row r="79" spans="1:19" ht="16" x14ac:dyDescent="0.2">
      <c r="A79" s="3" t="s">
        <v>87</v>
      </c>
      <c r="B79" s="4">
        <v>253700000</v>
      </c>
      <c r="C79" s="4">
        <v>296369000</v>
      </c>
      <c r="D79" s="4">
        <v>355331000</v>
      </c>
      <c r="E79" s="4">
        <v>426920000</v>
      </c>
      <c r="F79" s="4">
        <v>526090000</v>
      </c>
      <c r="G79" s="4">
        <v>654355000</v>
      </c>
      <c r="H79" s="4">
        <v>798759000</v>
      </c>
      <c r="I79" s="4">
        <v>959208000</v>
      </c>
      <c r="J79" s="4">
        <v>1149107000</v>
      </c>
      <c r="K79" s="4">
        <v>1360316000</v>
      </c>
      <c r="L79" s="4">
        <v>1572021000</v>
      </c>
      <c r="M79" s="4">
        <v>1718535000</v>
      </c>
      <c r="N79" s="4">
        <v>1853906000</v>
      </c>
      <c r="O79" s="5" t="s">
        <v>23</v>
      </c>
      <c r="P79" s="4" t="s">
        <v>23</v>
      </c>
      <c r="Q79" s="4">
        <v>1853906000</v>
      </c>
      <c r="R79" s="4" t="s">
        <v>23</v>
      </c>
      <c r="S79" s="4" t="s">
        <v>23</v>
      </c>
    </row>
    <row r="80" spans="1:19" ht="16" x14ac:dyDescent="0.2">
      <c r="A80" s="3" t="s">
        <v>88</v>
      </c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4" t="s">
        <v>23</v>
      </c>
      <c r="N80" s="4" t="s">
        <v>23</v>
      </c>
      <c r="O80" s="5" t="s">
        <v>23</v>
      </c>
      <c r="P80" s="4" t="s">
        <v>23</v>
      </c>
      <c r="Q80" s="4" t="s">
        <v>23</v>
      </c>
      <c r="R80" s="4" t="s">
        <v>23</v>
      </c>
      <c r="S80" s="4" t="s">
        <v>23</v>
      </c>
    </row>
    <row r="81" spans="1:19" ht="16" x14ac:dyDescent="0.2">
      <c r="A81" s="3" t="s">
        <v>89</v>
      </c>
      <c r="B81" s="4" t="s">
        <v>23</v>
      </c>
      <c r="C81" s="4" t="s">
        <v>23</v>
      </c>
      <c r="D81" s="4" t="s">
        <v>23</v>
      </c>
      <c r="E81" s="4" t="s">
        <v>23</v>
      </c>
      <c r="F81" s="4" t="s">
        <v>23</v>
      </c>
      <c r="G81" s="4" t="s">
        <v>23</v>
      </c>
      <c r="H81" s="4" t="s">
        <v>23</v>
      </c>
      <c r="I81" s="4" t="s">
        <v>23</v>
      </c>
      <c r="J81" s="4" t="s">
        <v>23</v>
      </c>
      <c r="K81" s="4" t="s">
        <v>23</v>
      </c>
      <c r="L81" s="4" t="s">
        <v>23</v>
      </c>
      <c r="M81" s="4" t="s">
        <v>23</v>
      </c>
      <c r="N81" s="4" t="s">
        <v>23</v>
      </c>
      <c r="O81" s="5" t="s">
        <v>23</v>
      </c>
      <c r="P81" s="4" t="s">
        <v>23</v>
      </c>
      <c r="Q81" s="4" t="s">
        <v>23</v>
      </c>
      <c r="R81" s="4" t="s">
        <v>23</v>
      </c>
      <c r="S81" s="4" t="s">
        <v>23</v>
      </c>
    </row>
    <row r="82" spans="1:19" ht="16" x14ac:dyDescent="0.2">
      <c r="A82" s="3" t="s">
        <v>90</v>
      </c>
      <c r="B82" s="4" t="s">
        <v>23</v>
      </c>
      <c r="C82" s="4" t="s">
        <v>23</v>
      </c>
      <c r="D82" s="4" t="s">
        <v>23</v>
      </c>
      <c r="E82" s="4" t="s">
        <v>23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4" t="s">
        <v>23</v>
      </c>
      <c r="L82" s="4" t="s">
        <v>23</v>
      </c>
      <c r="M82" s="4" t="s">
        <v>23</v>
      </c>
      <c r="N82" s="4" t="s">
        <v>23</v>
      </c>
      <c r="O82" s="5" t="s">
        <v>23</v>
      </c>
      <c r="P82" s="4" t="s">
        <v>23</v>
      </c>
      <c r="Q82" s="4" t="s">
        <v>23</v>
      </c>
      <c r="R82" s="4" t="s">
        <v>23</v>
      </c>
      <c r="S82" s="4" t="s">
        <v>23</v>
      </c>
    </row>
    <row r="83" spans="1:19" ht="16" x14ac:dyDescent="0.2">
      <c r="A83" s="3" t="s">
        <v>91</v>
      </c>
      <c r="B83" s="4" t="s">
        <v>23</v>
      </c>
      <c r="C83" s="4" t="s">
        <v>23</v>
      </c>
      <c r="D83" s="4">
        <v>2866000</v>
      </c>
      <c r="E83" s="4">
        <v>4294000</v>
      </c>
      <c r="F83" s="4">
        <v>5656000</v>
      </c>
      <c r="G83" s="4">
        <v>8145000</v>
      </c>
      <c r="H83" s="4">
        <v>11283000</v>
      </c>
      <c r="I83" s="4">
        <v>25491000</v>
      </c>
      <c r="J83" s="4">
        <v>50282000</v>
      </c>
      <c r="K83" s="4">
        <v>1425782000</v>
      </c>
      <c r="L83" s="4">
        <v>1646804000</v>
      </c>
      <c r="M83" s="4">
        <v>1804999000</v>
      </c>
      <c r="N83" s="4">
        <v>1944477000</v>
      </c>
      <c r="O83" s="5">
        <v>107222000</v>
      </c>
      <c r="P83" s="4">
        <v>61755000</v>
      </c>
      <c r="Q83" s="4">
        <v>1944477000</v>
      </c>
      <c r="R83" s="4">
        <v>110201000</v>
      </c>
      <c r="S83" s="4">
        <v>107222000</v>
      </c>
    </row>
    <row r="84" spans="1:19" ht="16" x14ac:dyDescent="0.2">
      <c r="A84" s="3" t="s">
        <v>92</v>
      </c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>
        <v>15187000</v>
      </c>
      <c r="K84" s="4">
        <v>14261000</v>
      </c>
      <c r="L84" s="4">
        <v>13335000</v>
      </c>
      <c r="M84" s="4">
        <v>12408000</v>
      </c>
      <c r="N84" s="4">
        <v>12182000</v>
      </c>
      <c r="O84" s="5">
        <v>11588000</v>
      </c>
      <c r="P84" s="4">
        <v>11714000</v>
      </c>
      <c r="Q84" s="4">
        <v>12182000</v>
      </c>
      <c r="R84" s="4">
        <v>11885000</v>
      </c>
      <c r="S84" s="4">
        <v>11588000</v>
      </c>
    </row>
    <row r="85" spans="1:19" ht="16" x14ac:dyDescent="0.2">
      <c r="A85" s="3" t="s">
        <v>93</v>
      </c>
      <c r="B85" s="4" t="s">
        <v>23</v>
      </c>
      <c r="C85" s="4" t="s">
        <v>23</v>
      </c>
      <c r="D85" s="4" t="s">
        <v>23</v>
      </c>
      <c r="E85" s="4" t="s">
        <v>23</v>
      </c>
      <c r="F85" s="4" t="s">
        <v>23</v>
      </c>
      <c r="G85" s="4" t="s">
        <v>23</v>
      </c>
      <c r="H85" s="4" t="s">
        <v>23</v>
      </c>
      <c r="I85" s="4" t="s">
        <v>23</v>
      </c>
      <c r="J85" s="4">
        <v>10870000</v>
      </c>
      <c r="K85" s="4">
        <v>10870000</v>
      </c>
      <c r="L85" s="4">
        <v>10870000</v>
      </c>
      <c r="M85" s="4">
        <v>10870000</v>
      </c>
      <c r="N85" s="4">
        <v>10870000</v>
      </c>
      <c r="O85" s="5">
        <v>10870000</v>
      </c>
      <c r="P85" s="4">
        <v>10870000</v>
      </c>
      <c r="Q85" s="4">
        <v>10870000</v>
      </c>
      <c r="R85" s="4">
        <v>10870000</v>
      </c>
      <c r="S85" s="4">
        <v>10870000</v>
      </c>
    </row>
    <row r="86" spans="1:19" ht="16" x14ac:dyDescent="0.2">
      <c r="A86" s="3" t="s">
        <v>94</v>
      </c>
      <c r="B86" s="4" t="s">
        <v>23</v>
      </c>
      <c r="C86" s="4" t="s">
        <v>23</v>
      </c>
      <c r="D86" s="4" t="s">
        <v>23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>
        <v>4317000</v>
      </c>
      <c r="K86" s="4">
        <v>3391000</v>
      </c>
      <c r="L86" s="4">
        <v>2465000</v>
      </c>
      <c r="M86" s="4">
        <v>1538000</v>
      </c>
      <c r="N86" s="4">
        <v>1312000</v>
      </c>
      <c r="O86" s="5">
        <v>718000</v>
      </c>
      <c r="P86" s="4">
        <v>844000</v>
      </c>
      <c r="Q86" s="4">
        <v>1312000</v>
      </c>
      <c r="R86" s="4">
        <v>1015000</v>
      </c>
      <c r="S86" s="4">
        <v>718000</v>
      </c>
    </row>
    <row r="87" spans="1:19" ht="16" x14ac:dyDescent="0.2">
      <c r="A87" s="3" t="s">
        <v>95</v>
      </c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5" t="s">
        <v>23</v>
      </c>
      <c r="P87" s="4" t="s">
        <v>23</v>
      </c>
      <c r="Q87" s="4" t="s">
        <v>23</v>
      </c>
      <c r="R87" s="4" t="s">
        <v>23</v>
      </c>
      <c r="S87" s="4" t="s">
        <v>23</v>
      </c>
    </row>
    <row r="88" spans="1:19" ht="16" x14ac:dyDescent="0.2">
      <c r="A88" s="3" t="s">
        <v>96</v>
      </c>
      <c r="B88" s="4" t="s">
        <v>23</v>
      </c>
      <c r="C88" s="4" t="s">
        <v>23</v>
      </c>
      <c r="D88" s="4" t="s">
        <v>23</v>
      </c>
      <c r="E88" s="4" t="s">
        <v>23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5" t="s">
        <v>23</v>
      </c>
      <c r="P88" s="4" t="s">
        <v>23</v>
      </c>
      <c r="Q88" s="4" t="s">
        <v>23</v>
      </c>
      <c r="R88" s="4" t="s">
        <v>23</v>
      </c>
      <c r="S88" s="4" t="s">
        <v>23</v>
      </c>
    </row>
    <row r="89" spans="1:19" ht="16" x14ac:dyDescent="0.2">
      <c r="A89" s="3" t="s">
        <v>97</v>
      </c>
      <c r="B89" s="4" t="s">
        <v>23</v>
      </c>
      <c r="C89" s="4" t="s">
        <v>23</v>
      </c>
      <c r="D89" s="4">
        <v>2866000</v>
      </c>
      <c r="E89" s="4">
        <v>4294000</v>
      </c>
      <c r="F89" s="4">
        <v>5656000</v>
      </c>
      <c r="G89" s="4">
        <v>8145000</v>
      </c>
      <c r="H89" s="4">
        <v>11283000</v>
      </c>
      <c r="I89" s="4">
        <v>25491000</v>
      </c>
      <c r="J89" s="4">
        <v>35095000</v>
      </c>
      <c r="K89" s="4">
        <v>1411521000</v>
      </c>
      <c r="L89" s="4">
        <v>1633469000</v>
      </c>
      <c r="M89" s="4">
        <v>1792591000</v>
      </c>
      <c r="N89" s="4">
        <v>1932295000</v>
      </c>
      <c r="O89" s="5">
        <v>95634000</v>
      </c>
      <c r="P89" s="4">
        <v>50041000</v>
      </c>
      <c r="Q89" s="4">
        <v>1932295000</v>
      </c>
      <c r="R89" s="4">
        <v>98316000</v>
      </c>
      <c r="S89" s="4">
        <v>95634000</v>
      </c>
    </row>
    <row r="90" spans="1:19" ht="16" x14ac:dyDescent="0.2">
      <c r="A90" s="3" t="s">
        <v>98</v>
      </c>
      <c r="B90" s="4">
        <v>730488000</v>
      </c>
      <c r="C90" s="4">
        <v>957217000</v>
      </c>
      <c r="D90" s="4">
        <v>1275249000</v>
      </c>
      <c r="E90" s="4">
        <v>1602727000</v>
      </c>
      <c r="F90" s="4">
        <v>1983170000</v>
      </c>
      <c r="G90" s="4">
        <v>2230918000</v>
      </c>
      <c r="H90" s="4">
        <v>2551878000</v>
      </c>
      <c r="I90" s="4">
        <v>2908687000</v>
      </c>
      <c r="J90" s="4">
        <v>3191172000</v>
      </c>
      <c r="K90" s="4">
        <v>4863872000</v>
      </c>
      <c r="L90" s="4">
        <v>5089969000</v>
      </c>
      <c r="M90" s="4">
        <v>4764379000</v>
      </c>
      <c r="N90" s="4">
        <v>5370411000</v>
      </c>
      <c r="O90" s="5">
        <v>5248760000</v>
      </c>
      <c r="P90" s="4">
        <v>5331549000</v>
      </c>
      <c r="Q90" s="4">
        <v>5370411000</v>
      </c>
      <c r="R90" s="4">
        <v>5375719000</v>
      </c>
      <c r="S90" s="4">
        <v>5248760000</v>
      </c>
    </row>
    <row r="91" spans="1:19" ht="16" x14ac:dyDescent="0.2">
      <c r="A91" s="3" t="s">
        <v>99</v>
      </c>
      <c r="B91" s="4">
        <v>163357000</v>
      </c>
      <c r="C91" s="4">
        <v>164855000</v>
      </c>
      <c r="D91" s="4">
        <v>221067000</v>
      </c>
      <c r="E91" s="4">
        <v>266811000</v>
      </c>
      <c r="F91" s="4">
        <v>359594000</v>
      </c>
      <c r="G91" s="4">
        <v>396227000</v>
      </c>
      <c r="H91" s="4">
        <v>529343000</v>
      </c>
      <c r="I91" s="4">
        <v>642166000</v>
      </c>
      <c r="J91" s="4">
        <v>823736000</v>
      </c>
      <c r="K91" s="4">
        <v>660097000</v>
      </c>
      <c r="L91" s="4">
        <v>815915000</v>
      </c>
      <c r="M91" s="4">
        <v>930313000</v>
      </c>
      <c r="N91" s="4">
        <v>1003805000</v>
      </c>
      <c r="O91" s="5">
        <v>849562000</v>
      </c>
      <c r="P91" s="4">
        <v>1109890000</v>
      </c>
      <c r="Q91" s="4">
        <v>1003805000</v>
      </c>
      <c r="R91" s="4">
        <v>988550000</v>
      </c>
      <c r="S91" s="4">
        <v>849562000</v>
      </c>
    </row>
    <row r="92" spans="1:19" ht="16" x14ac:dyDescent="0.2">
      <c r="A92" s="3" t="s">
        <v>100</v>
      </c>
      <c r="B92" s="4">
        <v>87093000</v>
      </c>
      <c r="C92" s="4">
        <v>86442000</v>
      </c>
      <c r="D92" s="4">
        <v>118886000</v>
      </c>
      <c r="E92" s="4">
        <v>148282000</v>
      </c>
      <c r="F92" s="4">
        <v>190778000</v>
      </c>
      <c r="G92" s="4">
        <v>196174000</v>
      </c>
      <c r="H92" s="4">
        <v>259518000</v>
      </c>
      <c r="I92" s="4">
        <v>325758000</v>
      </c>
      <c r="J92" s="4">
        <v>404016000</v>
      </c>
      <c r="K92" s="4">
        <v>414009000</v>
      </c>
      <c r="L92" s="4">
        <v>477052000</v>
      </c>
      <c r="M92" s="4">
        <v>552730000</v>
      </c>
      <c r="N92" s="4">
        <v>559527000</v>
      </c>
      <c r="O92" s="5">
        <v>521315000</v>
      </c>
      <c r="P92" s="4">
        <v>647117000</v>
      </c>
      <c r="Q92" s="4">
        <v>559527000</v>
      </c>
      <c r="R92" s="4">
        <v>621272000</v>
      </c>
      <c r="S92" s="4">
        <v>521315000</v>
      </c>
    </row>
    <row r="93" spans="1:19" ht="16" x14ac:dyDescent="0.2">
      <c r="A93" s="3" t="s">
        <v>101</v>
      </c>
      <c r="B93" s="4">
        <v>8843000</v>
      </c>
      <c r="C93" s="4">
        <v>4002000</v>
      </c>
      <c r="D93" s="4">
        <v>10054000</v>
      </c>
      <c r="E93" s="4">
        <v>15349000</v>
      </c>
      <c r="F93" s="4">
        <v>19404000</v>
      </c>
      <c r="G93" s="4">
        <v>12702000</v>
      </c>
      <c r="H93" s="4">
        <v>8971000</v>
      </c>
      <c r="I93" s="4">
        <v>14101000</v>
      </c>
      <c r="J93" s="4">
        <v>32085000</v>
      </c>
      <c r="K93" s="4">
        <v>39051000</v>
      </c>
      <c r="L93" s="4">
        <v>42529000</v>
      </c>
      <c r="M93" s="4">
        <v>12786000</v>
      </c>
      <c r="N93" s="4">
        <v>58850000</v>
      </c>
      <c r="O93" s="5" t="s">
        <v>23</v>
      </c>
      <c r="P93" s="4" t="s">
        <v>23</v>
      </c>
      <c r="Q93" s="4">
        <v>58850000</v>
      </c>
      <c r="R93" s="4">
        <v>58695000</v>
      </c>
      <c r="S93" s="4" t="s">
        <v>23</v>
      </c>
    </row>
    <row r="94" spans="1:19" ht="16" x14ac:dyDescent="0.2">
      <c r="A94" s="3" t="s">
        <v>102</v>
      </c>
      <c r="B94" s="4" t="s">
        <v>23</v>
      </c>
      <c r="C94" s="4" t="s">
        <v>23</v>
      </c>
      <c r="D94" s="4" t="s">
        <v>23</v>
      </c>
      <c r="E94" s="4" t="s">
        <v>23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4" t="s">
        <v>23</v>
      </c>
      <c r="N94" s="4" t="s">
        <v>23</v>
      </c>
      <c r="O94" s="5" t="s">
        <v>23</v>
      </c>
      <c r="P94" s="4" t="s">
        <v>23</v>
      </c>
      <c r="Q94" s="4" t="s">
        <v>23</v>
      </c>
      <c r="R94" s="4" t="s">
        <v>23</v>
      </c>
      <c r="S94" s="4" t="s">
        <v>23</v>
      </c>
    </row>
    <row r="95" spans="1:19" ht="16" x14ac:dyDescent="0.2">
      <c r="A95" s="3" t="s">
        <v>103</v>
      </c>
      <c r="B95" s="4">
        <v>67421000</v>
      </c>
      <c r="C95" s="4">
        <v>74411000</v>
      </c>
      <c r="D95" s="4">
        <v>92127000</v>
      </c>
      <c r="E95" s="4">
        <v>103180000</v>
      </c>
      <c r="F95" s="4">
        <v>149412000</v>
      </c>
      <c r="G95" s="4">
        <v>187351000</v>
      </c>
      <c r="H95" s="4">
        <v>260854000</v>
      </c>
      <c r="I95" s="4">
        <v>302307000</v>
      </c>
      <c r="J95" s="4">
        <v>387635000</v>
      </c>
      <c r="K95" s="4">
        <v>207037000</v>
      </c>
      <c r="L95" s="4">
        <v>296334000</v>
      </c>
      <c r="M95" s="4">
        <v>364797000</v>
      </c>
      <c r="N95" s="4">
        <v>385428000</v>
      </c>
      <c r="O95" s="5">
        <v>328247000</v>
      </c>
      <c r="P95" s="4">
        <v>462773000</v>
      </c>
      <c r="Q95" s="4">
        <v>385428000</v>
      </c>
      <c r="R95" s="4">
        <v>308583000</v>
      </c>
      <c r="S95" s="4">
        <v>328247000</v>
      </c>
    </row>
    <row r="96" spans="1:19" ht="16" x14ac:dyDescent="0.2">
      <c r="A96" s="3" t="s">
        <v>104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239629000</v>
      </c>
      <c r="L96" s="4">
        <v>253415000</v>
      </c>
      <c r="M96" s="4">
        <v>274118000</v>
      </c>
      <c r="N96" s="4">
        <v>283293000</v>
      </c>
      <c r="O96" s="5">
        <v>287359000</v>
      </c>
      <c r="P96" s="4">
        <v>275749000</v>
      </c>
      <c r="Q96" s="4">
        <v>283293000</v>
      </c>
      <c r="R96" s="4">
        <v>288133000</v>
      </c>
      <c r="S96" s="4">
        <v>287359000</v>
      </c>
    </row>
    <row r="97" spans="1:19" ht="16" x14ac:dyDescent="0.2">
      <c r="A97" s="3" t="s">
        <v>105</v>
      </c>
      <c r="B97" s="4" t="s">
        <v>23</v>
      </c>
      <c r="C97" s="4" t="s">
        <v>23</v>
      </c>
      <c r="D97" s="4" t="s">
        <v>23</v>
      </c>
      <c r="E97" s="4" t="s">
        <v>23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4" t="s">
        <v>23</v>
      </c>
      <c r="L97" s="4" t="s">
        <v>23</v>
      </c>
      <c r="M97" s="4" t="s">
        <v>23</v>
      </c>
      <c r="N97" s="4" t="s">
        <v>23</v>
      </c>
      <c r="O97" s="5" t="s">
        <v>23</v>
      </c>
      <c r="P97" s="4" t="s">
        <v>23</v>
      </c>
      <c r="Q97" s="4" t="s">
        <v>23</v>
      </c>
      <c r="R97" s="4" t="s">
        <v>23</v>
      </c>
      <c r="S97" s="4" t="s">
        <v>23</v>
      </c>
    </row>
    <row r="98" spans="1:19" ht="16" x14ac:dyDescent="0.2">
      <c r="A98" s="3" t="s">
        <v>106</v>
      </c>
      <c r="B98" s="4" t="s">
        <v>23</v>
      </c>
      <c r="C98" s="4" t="s">
        <v>23</v>
      </c>
      <c r="D98" s="4" t="s">
        <v>23</v>
      </c>
      <c r="E98" s="4" t="s">
        <v>23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>
        <v>239629000</v>
      </c>
      <c r="L98" s="4">
        <v>253415000</v>
      </c>
      <c r="M98" s="4">
        <v>274118000</v>
      </c>
      <c r="N98" s="4">
        <v>283293000</v>
      </c>
      <c r="O98" s="5">
        <v>287359000</v>
      </c>
      <c r="P98" s="4">
        <v>275749000</v>
      </c>
      <c r="Q98" s="4">
        <v>283293000</v>
      </c>
      <c r="R98" s="4">
        <v>288133000</v>
      </c>
      <c r="S98" s="4">
        <v>287359000</v>
      </c>
    </row>
    <row r="99" spans="1:19" ht="16" x14ac:dyDescent="0.2">
      <c r="A99" s="3" t="s">
        <v>107</v>
      </c>
      <c r="B99" s="4" t="s">
        <v>23</v>
      </c>
      <c r="C99" s="4" t="s">
        <v>23</v>
      </c>
      <c r="D99" s="4" t="s">
        <v>23</v>
      </c>
      <c r="E99" s="4" t="s">
        <v>23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4">
        <v>237535000</v>
      </c>
      <c r="L99" s="4">
        <v>274383000</v>
      </c>
      <c r="M99" s="4">
        <v>353579000</v>
      </c>
      <c r="N99" s="4">
        <v>394677000</v>
      </c>
      <c r="O99" s="5">
        <v>354253000</v>
      </c>
      <c r="P99" s="4">
        <v>312132000</v>
      </c>
      <c r="Q99" s="4">
        <v>394677000</v>
      </c>
      <c r="R99" s="4">
        <v>357217000</v>
      </c>
      <c r="S99" s="4">
        <v>354253000</v>
      </c>
    </row>
    <row r="100" spans="1:19" ht="16" x14ac:dyDescent="0.2">
      <c r="A100" s="3" t="s">
        <v>108</v>
      </c>
      <c r="B100" s="4" t="s">
        <v>23</v>
      </c>
      <c r="C100" s="4" t="s">
        <v>23</v>
      </c>
      <c r="D100" s="4" t="s">
        <v>23</v>
      </c>
      <c r="E100" s="4" t="s">
        <v>23</v>
      </c>
      <c r="F100" s="4" t="s">
        <v>23</v>
      </c>
      <c r="G100" s="4" t="s">
        <v>23</v>
      </c>
      <c r="H100" s="4" t="s">
        <v>23</v>
      </c>
      <c r="I100" s="4">
        <v>113136000</v>
      </c>
      <c r="J100" s="4">
        <v>199054000</v>
      </c>
      <c r="K100" s="4">
        <v>237535000</v>
      </c>
      <c r="L100" s="4">
        <v>274383000</v>
      </c>
      <c r="M100" s="4">
        <v>353579000</v>
      </c>
      <c r="N100" s="4">
        <v>394677000</v>
      </c>
      <c r="O100" s="5">
        <v>354253000</v>
      </c>
      <c r="P100" s="4">
        <v>312132000</v>
      </c>
      <c r="Q100" s="4">
        <v>394677000</v>
      </c>
      <c r="R100" s="4">
        <v>357217000</v>
      </c>
      <c r="S100" s="4">
        <v>354253000</v>
      </c>
    </row>
    <row r="101" spans="1:19" ht="16" x14ac:dyDescent="0.2">
      <c r="A101" s="3" t="s">
        <v>109</v>
      </c>
      <c r="B101" s="4" t="s">
        <v>23</v>
      </c>
      <c r="C101" s="4" t="s">
        <v>23</v>
      </c>
      <c r="D101" s="4" t="s">
        <v>23</v>
      </c>
      <c r="E101" s="4" t="s">
        <v>23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  <c r="O101" s="5" t="s">
        <v>23</v>
      </c>
      <c r="P101" s="4" t="s">
        <v>23</v>
      </c>
      <c r="Q101" s="4" t="s">
        <v>23</v>
      </c>
      <c r="R101" s="4" t="s">
        <v>23</v>
      </c>
      <c r="S101" s="4" t="s">
        <v>23</v>
      </c>
    </row>
    <row r="102" spans="1:19" ht="16" x14ac:dyDescent="0.2">
      <c r="A102" s="3" t="s">
        <v>110</v>
      </c>
      <c r="B102" s="4" t="s">
        <v>23</v>
      </c>
      <c r="C102" s="4" t="s">
        <v>23</v>
      </c>
      <c r="D102" s="4" t="s">
        <v>23</v>
      </c>
      <c r="E102" s="4" t="s">
        <v>23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23</v>
      </c>
      <c r="L102" s="4" t="s">
        <v>23</v>
      </c>
      <c r="M102" s="4" t="s">
        <v>23</v>
      </c>
      <c r="N102" s="4" t="s">
        <v>23</v>
      </c>
      <c r="O102" s="5" t="s">
        <v>23</v>
      </c>
      <c r="P102" s="4" t="s">
        <v>23</v>
      </c>
      <c r="Q102" s="4" t="s">
        <v>23</v>
      </c>
      <c r="R102" s="4" t="s">
        <v>23</v>
      </c>
      <c r="S102" s="4" t="s">
        <v>23</v>
      </c>
    </row>
    <row r="103" spans="1:19" ht="16" x14ac:dyDescent="0.2">
      <c r="A103" s="3" t="s">
        <v>111</v>
      </c>
      <c r="B103" s="4" t="s">
        <v>23</v>
      </c>
      <c r="C103" s="4" t="s">
        <v>23</v>
      </c>
      <c r="D103" s="4" t="s">
        <v>23</v>
      </c>
      <c r="E103" s="4" t="s">
        <v>23</v>
      </c>
      <c r="F103" s="4" t="s">
        <v>23</v>
      </c>
      <c r="G103" s="4" t="s">
        <v>23</v>
      </c>
      <c r="H103" s="4" t="s">
        <v>23</v>
      </c>
      <c r="I103" s="4">
        <v>-113136000</v>
      </c>
      <c r="J103" s="4">
        <v>-199054000</v>
      </c>
      <c r="K103" s="4" t="s">
        <v>23</v>
      </c>
      <c r="L103" s="4" t="s">
        <v>23</v>
      </c>
      <c r="M103" s="4" t="s">
        <v>23</v>
      </c>
      <c r="N103" s="4" t="s">
        <v>23</v>
      </c>
      <c r="O103" s="5" t="s">
        <v>23</v>
      </c>
      <c r="P103" s="4" t="s">
        <v>23</v>
      </c>
      <c r="Q103" s="4" t="s">
        <v>23</v>
      </c>
      <c r="R103" s="4" t="s">
        <v>23</v>
      </c>
      <c r="S103" s="4" t="s">
        <v>23</v>
      </c>
    </row>
    <row r="104" spans="1:19" ht="16" x14ac:dyDescent="0.2">
      <c r="A104" s="3" t="s">
        <v>112</v>
      </c>
      <c r="B104" s="4">
        <v>163357000</v>
      </c>
      <c r="C104" s="4">
        <v>164855000</v>
      </c>
      <c r="D104" s="4">
        <v>221067000</v>
      </c>
      <c r="E104" s="4">
        <v>266811000</v>
      </c>
      <c r="F104" s="4">
        <v>359594000</v>
      </c>
      <c r="G104" s="4">
        <v>396227000</v>
      </c>
      <c r="H104" s="4">
        <v>529343000</v>
      </c>
      <c r="I104" s="4">
        <v>642166000</v>
      </c>
      <c r="J104" s="4">
        <v>823736000</v>
      </c>
      <c r="K104" s="4">
        <v>1137261000</v>
      </c>
      <c r="L104" s="4">
        <v>1343713000</v>
      </c>
      <c r="M104" s="4">
        <v>1558010000</v>
      </c>
      <c r="N104" s="4">
        <v>1681775000</v>
      </c>
      <c r="O104" s="5">
        <v>1491174000</v>
      </c>
      <c r="P104" s="4">
        <v>1697771000</v>
      </c>
      <c r="Q104" s="4">
        <v>1681775000</v>
      </c>
      <c r="R104" s="4">
        <v>1633900000</v>
      </c>
      <c r="S104" s="4">
        <v>1491174000</v>
      </c>
    </row>
    <row r="105" spans="1:19" ht="16" x14ac:dyDescent="0.2">
      <c r="A105" s="3" t="s">
        <v>113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1698718000</v>
      </c>
      <c r="L105" s="4">
        <v>1643386000</v>
      </c>
      <c r="M105" s="4">
        <v>1572638000</v>
      </c>
      <c r="N105" s="4">
        <v>1619883000</v>
      </c>
      <c r="O105" s="5">
        <v>1593040000</v>
      </c>
      <c r="P105" s="4">
        <v>1621252000</v>
      </c>
      <c r="Q105" s="4">
        <v>1619883000</v>
      </c>
      <c r="R105" s="4">
        <v>1610256000</v>
      </c>
      <c r="S105" s="4">
        <v>1593040000</v>
      </c>
    </row>
    <row r="106" spans="1:19" ht="16" x14ac:dyDescent="0.2">
      <c r="A106" s="3" t="s">
        <v>114</v>
      </c>
      <c r="B106" s="4" t="s">
        <v>23</v>
      </c>
      <c r="C106" s="4" t="s">
        <v>23</v>
      </c>
      <c r="D106" s="4" t="s">
        <v>23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  <c r="L106" s="4" t="s">
        <v>23</v>
      </c>
      <c r="M106" s="4" t="s">
        <v>23</v>
      </c>
      <c r="N106" s="4" t="s">
        <v>23</v>
      </c>
      <c r="O106" s="5" t="s">
        <v>23</v>
      </c>
      <c r="P106" s="4" t="s">
        <v>23</v>
      </c>
      <c r="Q106" s="4" t="s">
        <v>23</v>
      </c>
      <c r="R106" s="4" t="s">
        <v>23</v>
      </c>
      <c r="S106" s="4" t="s">
        <v>23</v>
      </c>
    </row>
    <row r="107" spans="1:19" ht="16" x14ac:dyDescent="0.2">
      <c r="A107" s="3" t="s">
        <v>115</v>
      </c>
      <c r="B107" s="4" t="s">
        <v>23</v>
      </c>
      <c r="C107" s="4" t="s">
        <v>23</v>
      </c>
      <c r="D107" s="4" t="s">
        <v>23</v>
      </c>
      <c r="E107" s="4" t="s">
        <v>23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>
        <v>1698718000</v>
      </c>
      <c r="L107" s="4">
        <v>1643386000</v>
      </c>
      <c r="M107" s="4">
        <v>1572638000</v>
      </c>
      <c r="N107" s="4">
        <v>1619883000</v>
      </c>
      <c r="O107" s="5">
        <v>1593040000</v>
      </c>
      <c r="P107" s="4">
        <v>1621252000</v>
      </c>
      <c r="Q107" s="4">
        <v>1619883000</v>
      </c>
      <c r="R107" s="4">
        <v>1610256000</v>
      </c>
      <c r="S107" s="4">
        <v>1593040000</v>
      </c>
    </row>
    <row r="108" spans="1:19" ht="16" x14ac:dyDescent="0.2">
      <c r="A108" s="3" t="s">
        <v>116</v>
      </c>
      <c r="B108" s="4">
        <v>164598000</v>
      </c>
      <c r="C108" s="4">
        <v>207658000</v>
      </c>
      <c r="D108" s="4">
        <v>267240000</v>
      </c>
      <c r="E108" s="4">
        <v>332822000</v>
      </c>
      <c r="F108" s="4">
        <v>376067000</v>
      </c>
      <c r="G108" s="4">
        <v>391805000</v>
      </c>
      <c r="H108" s="4">
        <v>472317000</v>
      </c>
      <c r="I108" s="4">
        <v>492304000</v>
      </c>
      <c r="J108" s="4">
        <v>547218000</v>
      </c>
      <c r="K108" s="4">
        <v>125799000</v>
      </c>
      <c r="L108" s="4">
        <v>103321000</v>
      </c>
      <c r="M108" s="4">
        <v>98358000</v>
      </c>
      <c r="N108" s="4">
        <v>108942000</v>
      </c>
      <c r="O108" s="5">
        <v>112669000</v>
      </c>
      <c r="P108" s="4">
        <v>90271000</v>
      </c>
      <c r="Q108" s="4">
        <v>108942000</v>
      </c>
      <c r="R108" s="4">
        <v>113495000</v>
      </c>
      <c r="S108" s="4">
        <v>112669000</v>
      </c>
    </row>
    <row r="109" spans="1:19" ht="16" x14ac:dyDescent="0.2">
      <c r="A109" s="3" t="s">
        <v>117</v>
      </c>
      <c r="B109" s="4">
        <v>164598000</v>
      </c>
      <c r="C109" s="4">
        <v>207658000</v>
      </c>
      <c r="D109" s="4">
        <v>264364000</v>
      </c>
      <c r="E109" s="4">
        <v>328348000</v>
      </c>
      <c r="F109" s="4">
        <v>368625000</v>
      </c>
      <c r="G109" s="4">
        <v>381316000</v>
      </c>
      <c r="H109" s="4">
        <v>452689000</v>
      </c>
      <c r="I109" s="4">
        <v>467319000</v>
      </c>
      <c r="J109" s="4">
        <v>518844000</v>
      </c>
      <c r="K109" s="4">
        <v>89367000</v>
      </c>
      <c r="L109" s="4">
        <v>65359000</v>
      </c>
      <c r="M109" s="4">
        <v>39693000</v>
      </c>
      <c r="N109" s="4">
        <v>55346000</v>
      </c>
      <c r="O109" s="5">
        <v>56012000</v>
      </c>
      <c r="P109" s="4">
        <v>38627000</v>
      </c>
      <c r="Q109" s="4">
        <v>55346000</v>
      </c>
      <c r="R109" s="4">
        <v>57490000</v>
      </c>
      <c r="S109" s="4">
        <v>56012000</v>
      </c>
    </row>
    <row r="110" spans="1:19" ht="16" x14ac:dyDescent="0.2">
      <c r="A110" s="3" t="s">
        <v>118</v>
      </c>
      <c r="B110" s="4" t="s">
        <v>23</v>
      </c>
      <c r="C110" s="4" t="s">
        <v>23</v>
      </c>
      <c r="D110" s="4" t="s">
        <v>23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23</v>
      </c>
      <c r="M110" s="4" t="s">
        <v>23</v>
      </c>
      <c r="N110" s="4" t="s">
        <v>23</v>
      </c>
      <c r="O110" s="5" t="s">
        <v>23</v>
      </c>
      <c r="P110" s="4" t="s">
        <v>23</v>
      </c>
      <c r="Q110" s="4" t="s">
        <v>23</v>
      </c>
      <c r="R110" s="4" t="s">
        <v>23</v>
      </c>
      <c r="S110" s="4" t="s">
        <v>23</v>
      </c>
    </row>
    <row r="111" spans="1:19" ht="16" x14ac:dyDescent="0.2">
      <c r="A111" s="3" t="s">
        <v>108</v>
      </c>
      <c r="B111" s="4" t="s">
        <v>23</v>
      </c>
      <c r="C111" s="4" t="s">
        <v>23</v>
      </c>
      <c r="D111" s="4" t="s">
        <v>23</v>
      </c>
      <c r="E111" s="4" t="s">
        <v>23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5" t="s">
        <v>23</v>
      </c>
      <c r="P111" s="4" t="s">
        <v>23</v>
      </c>
      <c r="Q111" s="4" t="s">
        <v>23</v>
      </c>
      <c r="R111" s="4" t="s">
        <v>23</v>
      </c>
      <c r="S111" s="4" t="s">
        <v>23</v>
      </c>
    </row>
    <row r="112" spans="1:19" ht="16" x14ac:dyDescent="0.2">
      <c r="A112" s="3" t="s">
        <v>110</v>
      </c>
      <c r="B112" s="4" t="s">
        <v>23</v>
      </c>
      <c r="C112" s="4" t="s">
        <v>23</v>
      </c>
      <c r="D112" s="4" t="s">
        <v>23</v>
      </c>
      <c r="E112" s="4" t="s">
        <v>23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  <c r="O112" s="5" t="s">
        <v>23</v>
      </c>
      <c r="P112" s="4" t="s">
        <v>23</v>
      </c>
      <c r="Q112" s="4" t="s">
        <v>23</v>
      </c>
      <c r="R112" s="4" t="s">
        <v>23</v>
      </c>
      <c r="S112" s="4" t="s">
        <v>23</v>
      </c>
    </row>
    <row r="113" spans="1:19" ht="16" x14ac:dyDescent="0.2">
      <c r="A113" s="3" t="s">
        <v>109</v>
      </c>
      <c r="B113" s="4" t="s">
        <v>23</v>
      </c>
      <c r="C113" s="4" t="s">
        <v>23</v>
      </c>
      <c r="D113" s="4" t="s">
        <v>23</v>
      </c>
      <c r="E113" s="4" t="s">
        <v>23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23</v>
      </c>
      <c r="N113" s="4" t="s">
        <v>23</v>
      </c>
      <c r="O113" s="5" t="s">
        <v>23</v>
      </c>
      <c r="P113" s="4" t="s">
        <v>23</v>
      </c>
      <c r="Q113" s="4" t="s">
        <v>23</v>
      </c>
      <c r="R113" s="4" t="s">
        <v>23</v>
      </c>
      <c r="S113" s="4" t="s">
        <v>23</v>
      </c>
    </row>
    <row r="114" spans="1:19" ht="16" x14ac:dyDescent="0.2">
      <c r="A114" s="3" t="s">
        <v>119</v>
      </c>
      <c r="B114" s="4" t="s">
        <v>23</v>
      </c>
      <c r="C114" s="4" t="s">
        <v>23</v>
      </c>
      <c r="D114" s="4">
        <v>2876000</v>
      </c>
      <c r="E114" s="4">
        <v>4474000</v>
      </c>
      <c r="F114" s="4">
        <v>7442000</v>
      </c>
      <c r="G114" s="4">
        <v>10489000</v>
      </c>
      <c r="H114" s="4">
        <v>19628000</v>
      </c>
      <c r="I114" s="4">
        <v>24985000</v>
      </c>
      <c r="J114" s="4">
        <v>28374000</v>
      </c>
      <c r="K114" s="4">
        <v>36432000</v>
      </c>
      <c r="L114" s="4">
        <v>37962000</v>
      </c>
      <c r="M114" s="4">
        <v>58665000</v>
      </c>
      <c r="N114" s="4">
        <v>53596000</v>
      </c>
      <c r="O114" s="5">
        <v>56657000</v>
      </c>
      <c r="P114" s="4">
        <v>51644000</v>
      </c>
      <c r="Q114" s="4">
        <v>53596000</v>
      </c>
      <c r="R114" s="4">
        <v>56005000</v>
      </c>
      <c r="S114" s="4">
        <v>56657000</v>
      </c>
    </row>
    <row r="115" spans="1:19" ht="16" x14ac:dyDescent="0.2">
      <c r="A115" s="3" t="s">
        <v>120</v>
      </c>
      <c r="B115" s="4">
        <v>164598000</v>
      </c>
      <c r="C115" s="4">
        <v>207658000</v>
      </c>
      <c r="D115" s="4">
        <v>267240000</v>
      </c>
      <c r="E115" s="4">
        <v>332822000</v>
      </c>
      <c r="F115" s="4">
        <v>376067000</v>
      </c>
      <c r="G115" s="4">
        <v>391805000</v>
      </c>
      <c r="H115" s="4">
        <v>472317000</v>
      </c>
      <c r="I115" s="4">
        <v>492304000</v>
      </c>
      <c r="J115" s="4">
        <v>547218000</v>
      </c>
      <c r="K115" s="4">
        <v>1824517000</v>
      </c>
      <c r="L115" s="4">
        <v>1746707000</v>
      </c>
      <c r="M115" s="4">
        <v>1670996000</v>
      </c>
      <c r="N115" s="4">
        <v>1728825000</v>
      </c>
      <c r="O115" s="5">
        <v>1705709000</v>
      </c>
      <c r="P115" s="4">
        <v>1711523000</v>
      </c>
      <c r="Q115" s="4">
        <v>1728825000</v>
      </c>
      <c r="R115" s="4">
        <v>1723751000</v>
      </c>
      <c r="S115" s="4">
        <v>1705709000</v>
      </c>
    </row>
    <row r="116" spans="1:19" ht="16" x14ac:dyDescent="0.2">
      <c r="A116" s="3" t="s">
        <v>121</v>
      </c>
      <c r="B116" s="4">
        <v>327955000</v>
      </c>
      <c r="C116" s="4">
        <v>372513000</v>
      </c>
      <c r="D116" s="4">
        <v>488307000</v>
      </c>
      <c r="E116" s="4">
        <v>599633000</v>
      </c>
      <c r="F116" s="4">
        <v>735661000</v>
      </c>
      <c r="G116" s="4">
        <v>788032000</v>
      </c>
      <c r="H116" s="4">
        <v>1001660000</v>
      </c>
      <c r="I116" s="4">
        <v>1134470000</v>
      </c>
      <c r="J116" s="4">
        <v>1370954000</v>
      </c>
      <c r="K116" s="4">
        <v>2961778000</v>
      </c>
      <c r="L116" s="4">
        <v>3090420000</v>
      </c>
      <c r="M116" s="4">
        <v>3229006000</v>
      </c>
      <c r="N116" s="4">
        <v>3410600000</v>
      </c>
      <c r="O116" s="5">
        <v>3196883000</v>
      </c>
      <c r="P116" s="4">
        <v>3409294000</v>
      </c>
      <c r="Q116" s="4">
        <v>3410600000</v>
      </c>
      <c r="R116" s="4">
        <v>3357651000</v>
      </c>
      <c r="S116" s="4">
        <v>3196883000</v>
      </c>
    </row>
    <row r="117" spans="1:19" ht="16" x14ac:dyDescent="0.2">
      <c r="A117" s="3" t="s">
        <v>122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4" t="s">
        <v>23</v>
      </c>
      <c r="N117" s="4" t="s">
        <v>23</v>
      </c>
      <c r="O117" s="5" t="s">
        <v>23</v>
      </c>
      <c r="P117" s="4" t="s">
        <v>23</v>
      </c>
      <c r="Q117" s="4" t="s">
        <v>23</v>
      </c>
      <c r="R117" s="4" t="s">
        <v>23</v>
      </c>
      <c r="S117" s="4" t="s">
        <v>23</v>
      </c>
    </row>
    <row r="118" spans="1:19" ht="16" x14ac:dyDescent="0.2">
      <c r="A118" s="3" t="s">
        <v>123</v>
      </c>
      <c r="B118" s="4">
        <v>340182000</v>
      </c>
      <c r="C118" s="4">
        <v>405325000</v>
      </c>
      <c r="D118" s="4">
        <v>497575000</v>
      </c>
      <c r="E118" s="4">
        <v>548841000</v>
      </c>
      <c r="F118" s="4">
        <v>577629000</v>
      </c>
      <c r="G118" s="4">
        <v>622356000</v>
      </c>
      <c r="H118" s="4">
        <v>658957000</v>
      </c>
      <c r="I118" s="4">
        <v>699531000</v>
      </c>
      <c r="J118" s="4">
        <v>739263000</v>
      </c>
      <c r="K118" s="4">
        <v>808065000</v>
      </c>
      <c r="L118" s="4">
        <v>847872000</v>
      </c>
      <c r="M118" s="4">
        <v>935475000</v>
      </c>
      <c r="N118" s="4">
        <v>1024508000</v>
      </c>
      <c r="O118" s="5">
        <v>1050180000</v>
      </c>
      <c r="P118" s="4">
        <v>999333000</v>
      </c>
      <c r="Q118" s="4">
        <v>1024508000</v>
      </c>
      <c r="R118" s="4">
        <v>1040885000</v>
      </c>
      <c r="S118" s="4">
        <v>1050180000</v>
      </c>
    </row>
    <row r="119" spans="1:19" ht="16" x14ac:dyDescent="0.2">
      <c r="A119" s="3" t="s">
        <v>124</v>
      </c>
      <c r="B119" s="4">
        <v>606000</v>
      </c>
      <c r="C119" s="4">
        <v>627000</v>
      </c>
      <c r="D119" s="4">
        <v>645000</v>
      </c>
      <c r="E119" s="4">
        <v>647000</v>
      </c>
      <c r="F119" s="4">
        <v>647000</v>
      </c>
      <c r="G119" s="4">
        <v>641000</v>
      </c>
      <c r="H119" s="4">
        <v>627000</v>
      </c>
      <c r="I119" s="4">
        <v>614000</v>
      </c>
      <c r="J119" s="4">
        <v>592000</v>
      </c>
      <c r="K119" s="4">
        <v>573000</v>
      </c>
      <c r="L119" s="4">
        <v>569000</v>
      </c>
      <c r="M119" s="4">
        <v>530000</v>
      </c>
      <c r="N119" s="4">
        <v>511000</v>
      </c>
      <c r="O119" s="5">
        <v>501000</v>
      </c>
      <c r="P119" s="4">
        <v>517000</v>
      </c>
      <c r="Q119" s="4">
        <v>511000</v>
      </c>
      <c r="R119" s="4">
        <v>507000</v>
      </c>
      <c r="S119" s="4">
        <v>501000</v>
      </c>
    </row>
    <row r="120" spans="1:19" ht="16" x14ac:dyDescent="0.2">
      <c r="A120" s="3" t="s">
        <v>125</v>
      </c>
      <c r="B120" s="4">
        <v>339576000</v>
      </c>
      <c r="C120" s="4">
        <v>404698000</v>
      </c>
      <c r="D120" s="4">
        <v>496930000</v>
      </c>
      <c r="E120" s="4">
        <v>548194000</v>
      </c>
      <c r="F120" s="4">
        <v>576982000</v>
      </c>
      <c r="G120" s="4">
        <v>621715000</v>
      </c>
      <c r="H120" s="4">
        <v>658330000</v>
      </c>
      <c r="I120" s="4">
        <v>698917000</v>
      </c>
      <c r="J120" s="4">
        <v>738671000</v>
      </c>
      <c r="K120" s="4">
        <v>807492000</v>
      </c>
      <c r="L120" s="4">
        <v>847303000</v>
      </c>
      <c r="M120" s="4">
        <v>934945000</v>
      </c>
      <c r="N120" s="4">
        <v>1023997000</v>
      </c>
      <c r="O120" s="5">
        <v>1049679000</v>
      </c>
      <c r="P120" s="4">
        <v>998816000</v>
      </c>
      <c r="Q120" s="4">
        <v>1023997000</v>
      </c>
      <c r="R120" s="4">
        <v>1040378000</v>
      </c>
      <c r="S120" s="4">
        <v>1049679000</v>
      </c>
    </row>
    <row r="121" spans="1:19" ht="16" x14ac:dyDescent="0.2">
      <c r="A121" s="3" t="s">
        <v>126</v>
      </c>
      <c r="B121" s="4">
        <v>4179000</v>
      </c>
      <c r="C121" s="4">
        <v>7415000</v>
      </c>
      <c r="D121" s="4">
        <v>7494000</v>
      </c>
      <c r="E121" s="4">
        <v>8125000</v>
      </c>
      <c r="F121" s="4">
        <v>9713000</v>
      </c>
      <c r="G121" s="4">
        <v>11685000</v>
      </c>
      <c r="H121" s="4">
        <v>14524000</v>
      </c>
      <c r="I121" s="4">
        <v>18767000</v>
      </c>
      <c r="J121" s="4">
        <v>24908000</v>
      </c>
      <c r="K121" s="4">
        <v>34448000</v>
      </c>
      <c r="L121" s="4">
        <v>37801000</v>
      </c>
      <c r="M121" s="4">
        <v>53478000</v>
      </c>
      <c r="N121" s="4">
        <v>60470000</v>
      </c>
      <c r="O121" s="5">
        <v>82229000</v>
      </c>
      <c r="P121" s="4">
        <v>60218000</v>
      </c>
      <c r="Q121" s="4">
        <v>60470000</v>
      </c>
      <c r="R121" s="4">
        <v>82129000</v>
      </c>
      <c r="S121" s="4">
        <v>82229000</v>
      </c>
    </row>
    <row r="122" spans="1:19" ht="16" x14ac:dyDescent="0.2">
      <c r="A122" s="3" t="s">
        <v>127</v>
      </c>
      <c r="B122" s="4">
        <v>66530000</v>
      </c>
      <c r="C122" s="4">
        <v>186794000</v>
      </c>
      <c r="D122" s="4">
        <v>296861000</v>
      </c>
      <c r="E122" s="4">
        <v>462378000</v>
      </c>
      <c r="F122" s="4">
        <v>679593000</v>
      </c>
      <c r="G122" s="4">
        <v>832215000</v>
      </c>
      <c r="H122" s="4">
        <v>905785000</v>
      </c>
      <c r="I122" s="4">
        <v>1093453000</v>
      </c>
      <c r="J122" s="4">
        <v>1105863000</v>
      </c>
      <c r="K122" s="4">
        <v>1128477000</v>
      </c>
      <c r="L122" s="4">
        <v>1189422000</v>
      </c>
      <c r="M122" s="4">
        <v>653376000</v>
      </c>
      <c r="N122" s="4">
        <v>995773000</v>
      </c>
      <c r="O122" s="5">
        <v>1083926000</v>
      </c>
      <c r="P122" s="4">
        <v>983140000</v>
      </c>
      <c r="Q122" s="4">
        <v>995773000</v>
      </c>
      <c r="R122" s="4">
        <v>1059312000</v>
      </c>
      <c r="S122" s="4">
        <v>1083926000</v>
      </c>
    </row>
    <row r="123" spans="1:19" ht="16" x14ac:dyDescent="0.2">
      <c r="A123" s="3" t="s">
        <v>128</v>
      </c>
      <c r="B123" s="4" t="s">
        <v>23</v>
      </c>
      <c r="C123" s="4" t="s">
        <v>23</v>
      </c>
      <c r="D123" s="4" t="s">
        <v>23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4" t="s">
        <v>23</v>
      </c>
      <c r="K123" s="4" t="s">
        <v>23</v>
      </c>
      <c r="L123" s="4">
        <v>56000</v>
      </c>
      <c r="M123" s="4" t="s">
        <v>23</v>
      </c>
      <c r="N123" s="4" t="s">
        <v>23</v>
      </c>
      <c r="O123" s="5" t="s">
        <v>23</v>
      </c>
      <c r="P123" s="4" t="s">
        <v>23</v>
      </c>
      <c r="Q123" s="4" t="s">
        <v>23</v>
      </c>
      <c r="R123" s="4" t="s">
        <v>23</v>
      </c>
      <c r="S123" s="4" t="s">
        <v>23</v>
      </c>
    </row>
    <row r="124" spans="1:19" ht="16" x14ac:dyDescent="0.2">
      <c r="A124" s="3" t="s">
        <v>129</v>
      </c>
      <c r="B124" s="4">
        <v>402533000</v>
      </c>
      <c r="C124" s="4">
        <v>584704000</v>
      </c>
      <c r="D124" s="4">
        <v>786942000</v>
      </c>
      <c r="E124" s="4">
        <v>1003094000</v>
      </c>
      <c r="F124" s="4">
        <v>1247509000</v>
      </c>
      <c r="G124" s="4">
        <v>1442886000</v>
      </c>
      <c r="H124" s="4">
        <v>1550218000</v>
      </c>
      <c r="I124" s="4">
        <v>1774217000</v>
      </c>
      <c r="J124" s="4">
        <v>1820218000</v>
      </c>
      <c r="K124" s="4">
        <v>1902094000</v>
      </c>
      <c r="L124" s="4">
        <v>1999549000</v>
      </c>
      <c r="M124" s="4">
        <v>1535373000</v>
      </c>
      <c r="N124" s="4">
        <v>1959811000</v>
      </c>
      <c r="O124" s="5">
        <v>2051877000</v>
      </c>
      <c r="P124" s="4">
        <v>1922255000</v>
      </c>
      <c r="Q124" s="4">
        <v>1959811000</v>
      </c>
      <c r="R124" s="4">
        <v>2018068000</v>
      </c>
      <c r="S124" s="4">
        <v>2051877000</v>
      </c>
    </row>
    <row r="125" spans="1:19" ht="16" x14ac:dyDescent="0.2">
      <c r="A125" s="3" t="s">
        <v>130</v>
      </c>
      <c r="B125" s="4" t="s">
        <v>23</v>
      </c>
      <c r="C125" s="4" t="s">
        <v>23</v>
      </c>
      <c r="D125" s="4" t="s">
        <v>23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23</v>
      </c>
      <c r="L125" s="4" t="s">
        <v>23</v>
      </c>
      <c r="M125" s="4" t="s">
        <v>23</v>
      </c>
      <c r="N125" s="4" t="s">
        <v>23</v>
      </c>
      <c r="O125" s="5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</row>
    <row r="126" spans="1:19" ht="16" x14ac:dyDescent="0.2">
      <c r="A126" s="3" t="s">
        <v>131</v>
      </c>
      <c r="B126" s="4">
        <v>402533000</v>
      </c>
      <c r="C126" s="4">
        <v>584704000</v>
      </c>
      <c r="D126" s="4">
        <v>786942000</v>
      </c>
      <c r="E126" s="4">
        <v>1003094000</v>
      </c>
      <c r="F126" s="4">
        <v>1247509000</v>
      </c>
      <c r="G126" s="4">
        <v>1442886000</v>
      </c>
      <c r="H126" s="4">
        <v>1550218000</v>
      </c>
      <c r="I126" s="4">
        <v>1774217000</v>
      </c>
      <c r="J126" s="4">
        <v>1820218000</v>
      </c>
      <c r="K126" s="4">
        <v>1902094000</v>
      </c>
      <c r="L126" s="4">
        <v>1999549000</v>
      </c>
      <c r="M126" s="4">
        <v>1535373000</v>
      </c>
      <c r="N126" s="4">
        <v>1959811000</v>
      </c>
      <c r="O126" s="5">
        <v>2051877000</v>
      </c>
      <c r="P126" s="4">
        <v>1922255000</v>
      </c>
      <c r="Q126" s="4">
        <v>1959811000</v>
      </c>
      <c r="R126" s="4">
        <v>2018068000</v>
      </c>
      <c r="S126" s="4">
        <v>2051877000</v>
      </c>
    </row>
    <row r="127" spans="1:19" ht="16" x14ac:dyDescent="0.2">
      <c r="A127" s="3" t="s">
        <v>132</v>
      </c>
      <c r="B127" s="4">
        <v>730488000</v>
      </c>
      <c r="C127" s="4">
        <v>957217000</v>
      </c>
      <c r="D127" s="4">
        <v>1275249000</v>
      </c>
      <c r="E127" s="4">
        <v>1602727000</v>
      </c>
      <c r="F127" s="4">
        <v>1983170000</v>
      </c>
      <c r="G127" s="4">
        <v>2230918000</v>
      </c>
      <c r="H127" s="4">
        <v>2551878000</v>
      </c>
      <c r="I127" s="4">
        <v>2908687000</v>
      </c>
      <c r="J127" s="4">
        <v>3191172000</v>
      </c>
      <c r="K127" s="4">
        <v>4863872000</v>
      </c>
      <c r="L127" s="4">
        <v>5089969000</v>
      </c>
      <c r="M127" s="4">
        <v>4764379000</v>
      </c>
      <c r="N127" s="4">
        <v>5370411000</v>
      </c>
      <c r="O127" s="5">
        <v>5248760000</v>
      </c>
      <c r="P127" s="4">
        <v>5331549000</v>
      </c>
      <c r="Q127" s="4">
        <v>5370411000</v>
      </c>
      <c r="R127" s="4">
        <v>5375719000</v>
      </c>
      <c r="S127" s="4">
        <v>5248760000</v>
      </c>
    </row>
    <row r="128" spans="1:19" ht="16" x14ac:dyDescent="0.2">
      <c r="A128" s="31" t="s">
        <v>133</v>
      </c>
      <c r="B128" s="27">
        <v>60202000</v>
      </c>
      <c r="C128" s="27">
        <v>62209000</v>
      </c>
      <c r="D128" s="27">
        <v>64009000</v>
      </c>
      <c r="E128" s="27">
        <v>64231000</v>
      </c>
      <c r="F128" s="27">
        <v>64184000</v>
      </c>
      <c r="G128" s="27">
        <v>63540000</v>
      </c>
      <c r="H128" s="27">
        <v>62129000</v>
      </c>
      <c r="I128" s="27">
        <v>60822000</v>
      </c>
      <c r="J128" s="27">
        <v>58584000</v>
      </c>
      <c r="K128" s="27">
        <v>56609000</v>
      </c>
      <c r="L128" s="27">
        <v>56260000</v>
      </c>
      <c r="M128" s="27">
        <v>52311000</v>
      </c>
      <c r="N128" s="27">
        <v>50364000</v>
      </c>
      <c r="O128" s="28">
        <v>49341000</v>
      </c>
      <c r="P128" s="27">
        <v>51029000</v>
      </c>
      <c r="Q128" s="27">
        <v>50364000</v>
      </c>
      <c r="R128" s="27">
        <v>49932000</v>
      </c>
      <c r="S128" s="27">
        <v>49341000</v>
      </c>
    </row>
    <row r="129" spans="1:19" ht="16" x14ac:dyDescent="0.2">
      <c r="A129" s="15" t="s">
        <v>197</v>
      </c>
      <c r="B129" s="10"/>
      <c r="C129" s="20">
        <f>(C128/B128)-1</f>
        <v>3.3337762865021103E-2</v>
      </c>
      <c r="D129" s="20">
        <f>(D128/C128)-1</f>
        <v>2.8934720056583485E-2</v>
      </c>
      <c r="E129" s="20">
        <f>(E128/D128)-1</f>
        <v>3.468262275617473E-3</v>
      </c>
      <c r="F129" s="20">
        <f t="shared" ref="F129:S129" si="9">(F128/E128)-1</f>
        <v>-7.3173389796199473E-4</v>
      </c>
      <c r="G129" s="20">
        <f t="shared" si="9"/>
        <v>-1.0033653246915075E-2</v>
      </c>
      <c r="H129" s="20">
        <f t="shared" si="9"/>
        <v>-2.2206484104501101E-2</v>
      </c>
      <c r="I129" s="20">
        <f t="shared" si="9"/>
        <v>-2.1036874889343138E-2</v>
      </c>
      <c r="J129" s="20">
        <f t="shared" si="9"/>
        <v>-3.6795896221761826E-2</v>
      </c>
      <c r="K129" s="20">
        <f t="shared" si="9"/>
        <v>-3.371227638945784E-2</v>
      </c>
      <c r="L129" s="20">
        <f t="shared" si="9"/>
        <v>-6.1650974226713506E-3</v>
      </c>
      <c r="M129" s="20">
        <f t="shared" si="9"/>
        <v>-7.0191965872733686E-2</v>
      </c>
      <c r="N129" s="20">
        <f t="shared" si="9"/>
        <v>-3.7219705224522559E-2</v>
      </c>
      <c r="O129" s="20">
        <f t="shared" si="9"/>
        <v>-2.0312127710269245E-2</v>
      </c>
      <c r="P129" s="20">
        <f t="shared" si="9"/>
        <v>3.4210899657485694E-2</v>
      </c>
      <c r="Q129" s="20">
        <f t="shared" si="9"/>
        <v>-1.3031805443963207E-2</v>
      </c>
      <c r="R129" s="20">
        <f t="shared" si="9"/>
        <v>-8.5775553967119E-3</v>
      </c>
      <c r="S129" s="20">
        <f t="shared" si="9"/>
        <v>-1.1836097092045139E-2</v>
      </c>
    </row>
    <row r="130" spans="1:19" ht="16" x14ac:dyDescent="0.2">
      <c r="A130" s="3" t="s">
        <v>134</v>
      </c>
      <c r="B130" s="4" t="s">
        <v>23</v>
      </c>
      <c r="C130" s="4" t="s">
        <v>23</v>
      </c>
      <c r="D130" s="4" t="s">
        <v>23</v>
      </c>
      <c r="E130" s="4" t="s">
        <v>23</v>
      </c>
      <c r="F130" s="4" t="s">
        <v>23</v>
      </c>
      <c r="G130" s="4" t="s">
        <v>23</v>
      </c>
      <c r="H130" s="4" t="s">
        <v>23</v>
      </c>
      <c r="I130" s="4" t="s">
        <v>23</v>
      </c>
      <c r="J130" s="4" t="s">
        <v>23</v>
      </c>
      <c r="K130" s="4">
        <v>1938347000</v>
      </c>
      <c r="L130" s="4">
        <v>1896801000</v>
      </c>
      <c r="M130" s="4">
        <v>1846756000</v>
      </c>
      <c r="N130" s="4">
        <v>1903176000</v>
      </c>
      <c r="O130" s="5">
        <v>1880399000</v>
      </c>
      <c r="P130" s="4">
        <v>1897001000</v>
      </c>
      <c r="Q130" s="4">
        <v>1903176000</v>
      </c>
      <c r="R130" s="4">
        <v>1898389000</v>
      </c>
      <c r="S130" s="4">
        <v>1880399000</v>
      </c>
    </row>
    <row r="131" spans="1:19" ht="16" x14ac:dyDescent="0.2">
      <c r="A131" s="3" t="s">
        <v>135</v>
      </c>
      <c r="B131" s="4">
        <v>-111185000</v>
      </c>
      <c r="C131" s="4">
        <v>-253738000</v>
      </c>
      <c r="D131" s="4">
        <v>-320475000</v>
      </c>
      <c r="E131" s="4">
        <v>-419476000</v>
      </c>
      <c r="F131" s="4">
        <v>-389149000</v>
      </c>
      <c r="G131" s="4">
        <v>-345840000</v>
      </c>
      <c r="H131" s="4">
        <v>-385010000</v>
      </c>
      <c r="I131" s="4">
        <v>-277445000</v>
      </c>
      <c r="J131" s="4">
        <v>-409251000</v>
      </c>
      <c r="K131" s="4">
        <v>-392325000</v>
      </c>
      <c r="L131" s="4">
        <v>-1046051000</v>
      </c>
      <c r="M131" s="4">
        <v>-431560000</v>
      </c>
      <c r="N131" s="4">
        <v>-737877000</v>
      </c>
      <c r="O131" s="5">
        <v>-388627000</v>
      </c>
      <c r="P131" s="4">
        <v>-250628000</v>
      </c>
      <c r="Q131" s="4">
        <v>-737877000</v>
      </c>
      <c r="R131" s="4">
        <v>-636449000</v>
      </c>
      <c r="S131" s="4">
        <v>-388627000</v>
      </c>
    </row>
    <row r="132" spans="1:19" ht="16" x14ac:dyDescent="0.2">
      <c r="A132" s="3" t="s">
        <v>136</v>
      </c>
      <c r="B132" s="6">
        <v>-27.62</v>
      </c>
      <c r="C132" s="6">
        <v>-43.4</v>
      </c>
      <c r="D132" s="6">
        <v>-40.72</v>
      </c>
      <c r="E132" s="6">
        <v>-41.82</v>
      </c>
      <c r="F132" s="6">
        <v>-31.19</v>
      </c>
      <c r="G132" s="6">
        <v>-23.97</v>
      </c>
      <c r="H132" s="6">
        <v>-24.84</v>
      </c>
      <c r="I132" s="6">
        <v>-15.64</v>
      </c>
      <c r="J132" s="6">
        <v>-22.48</v>
      </c>
      <c r="K132" s="6">
        <v>-20.63</v>
      </c>
      <c r="L132" s="6">
        <v>-52.31</v>
      </c>
      <c r="M132" s="6">
        <v>-28.11</v>
      </c>
      <c r="N132" s="6">
        <v>-37.65</v>
      </c>
      <c r="O132" s="7">
        <v>-18.940000000000001</v>
      </c>
      <c r="P132" s="6">
        <v>-13.04</v>
      </c>
      <c r="Q132" s="6">
        <v>-37.65</v>
      </c>
      <c r="R132" s="6">
        <v>-31.54</v>
      </c>
      <c r="S132" s="6">
        <v>-18.940000000000001</v>
      </c>
    </row>
    <row r="133" spans="1:19" ht="16" x14ac:dyDescent="0.2">
      <c r="A133" s="3" t="s">
        <v>137</v>
      </c>
      <c r="B133" s="6">
        <v>55.1</v>
      </c>
      <c r="C133" s="6">
        <v>61.08</v>
      </c>
      <c r="D133" s="6">
        <v>61.71</v>
      </c>
      <c r="E133" s="6">
        <v>62.59</v>
      </c>
      <c r="F133" s="6">
        <v>62.9</v>
      </c>
      <c r="G133" s="6">
        <v>64.680000000000007</v>
      </c>
      <c r="H133" s="6">
        <v>60.75</v>
      </c>
      <c r="I133" s="4">
        <v>61</v>
      </c>
      <c r="J133" s="6">
        <v>56.83</v>
      </c>
      <c r="K133" s="6">
        <v>38.93</v>
      </c>
      <c r="L133" s="6">
        <v>39.119999999999997</v>
      </c>
      <c r="M133" s="6">
        <v>32.049999999999997</v>
      </c>
      <c r="N133" s="6">
        <v>36.35</v>
      </c>
      <c r="O133" s="7">
        <v>38.96</v>
      </c>
      <c r="P133" s="6">
        <v>35.909999999999997</v>
      </c>
      <c r="Q133" s="6">
        <v>36.35</v>
      </c>
      <c r="R133" s="6">
        <v>37.4</v>
      </c>
      <c r="S133" s="6">
        <v>38.96</v>
      </c>
    </row>
    <row r="134" spans="1:19" ht="16" x14ac:dyDescent="0.2">
      <c r="A134" s="3" t="s">
        <v>138</v>
      </c>
      <c r="B134" s="6">
        <v>2.48</v>
      </c>
      <c r="C134" s="6">
        <v>3.52</v>
      </c>
      <c r="D134" s="6">
        <v>3.57</v>
      </c>
      <c r="E134" s="6">
        <v>3.76</v>
      </c>
      <c r="F134" s="6">
        <v>3.5</v>
      </c>
      <c r="G134" s="6">
        <v>3.47</v>
      </c>
      <c r="H134" s="6">
        <v>2.9</v>
      </c>
      <c r="I134" s="6">
        <v>2.64</v>
      </c>
      <c r="J134" s="6">
        <v>2.3199999999999998</v>
      </c>
      <c r="K134" s="6">
        <v>1.81</v>
      </c>
      <c r="L134" s="6">
        <v>1.87</v>
      </c>
      <c r="M134" s="6">
        <v>1.46</v>
      </c>
      <c r="N134" s="6">
        <v>1.61</v>
      </c>
      <c r="O134" s="7">
        <v>1.69</v>
      </c>
      <c r="P134" s="6">
        <v>1.62</v>
      </c>
      <c r="Q134" s="6">
        <v>1.61</v>
      </c>
      <c r="R134" s="6">
        <v>1.64</v>
      </c>
      <c r="S134" s="6">
        <v>1.69</v>
      </c>
    </row>
    <row r="135" spans="1:19" ht="16" x14ac:dyDescent="0.2">
      <c r="A135" s="3" t="s">
        <v>139</v>
      </c>
      <c r="B135" s="6">
        <v>56.13</v>
      </c>
      <c r="C135" s="6">
        <v>51.17</v>
      </c>
      <c r="D135" s="6">
        <v>58.39</v>
      </c>
      <c r="E135" s="6">
        <v>65.790000000000006</v>
      </c>
      <c r="F135" s="6">
        <v>67.94</v>
      </c>
      <c r="G135" s="6">
        <v>76.010000000000005</v>
      </c>
      <c r="H135" s="6">
        <v>80.67</v>
      </c>
      <c r="I135" s="6">
        <v>77.040000000000006</v>
      </c>
      <c r="J135" s="6">
        <v>74.22</v>
      </c>
      <c r="K135" s="6">
        <v>72.709999999999994</v>
      </c>
      <c r="L135" s="6">
        <v>76.88</v>
      </c>
      <c r="M135" s="6">
        <v>67.930000000000007</v>
      </c>
      <c r="N135" s="6">
        <v>67.22</v>
      </c>
      <c r="O135" s="7">
        <v>73.319999999999993</v>
      </c>
      <c r="P135" s="6">
        <v>90.59</v>
      </c>
      <c r="Q135" s="6">
        <v>67.22</v>
      </c>
      <c r="R135" s="6">
        <v>68.52</v>
      </c>
      <c r="S135" s="6">
        <v>73.319999999999993</v>
      </c>
    </row>
    <row r="136" spans="1:19" ht="16" x14ac:dyDescent="0.2">
      <c r="A136" s="3" t="s">
        <v>140</v>
      </c>
      <c r="B136" s="4">
        <v>11700</v>
      </c>
      <c r="C136" s="4">
        <v>14000</v>
      </c>
      <c r="D136" s="4" t="s">
        <v>23</v>
      </c>
      <c r="E136" s="4" t="s">
        <v>23</v>
      </c>
      <c r="F136" s="4">
        <v>22400</v>
      </c>
      <c r="G136" s="4">
        <v>26500</v>
      </c>
      <c r="H136" s="4">
        <v>31800</v>
      </c>
      <c r="I136" s="4" t="s">
        <v>23</v>
      </c>
      <c r="J136" s="4" t="s">
        <v>23</v>
      </c>
      <c r="K136" s="4" t="s">
        <v>23</v>
      </c>
      <c r="L136" s="4">
        <v>37000</v>
      </c>
      <c r="M136" s="4">
        <v>40500</v>
      </c>
      <c r="N136" s="4">
        <v>53000</v>
      </c>
      <c r="O136" s="5">
        <v>53000</v>
      </c>
      <c r="P136" s="4">
        <v>40500</v>
      </c>
      <c r="Q136" s="4">
        <v>53000</v>
      </c>
      <c r="R136" s="4">
        <v>53000</v>
      </c>
      <c r="S136" s="4">
        <v>53000</v>
      </c>
    </row>
    <row r="138" spans="1:19" ht="16" x14ac:dyDescent="0.2">
      <c r="A138" s="2" t="s">
        <v>23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190</v>
      </c>
      <c r="S138" s="2" t="s">
        <v>16</v>
      </c>
    </row>
    <row r="139" spans="1:19" ht="16" x14ac:dyDescent="0.2">
      <c r="A139" s="3" t="s">
        <v>141</v>
      </c>
      <c r="B139" s="4">
        <v>71030000</v>
      </c>
      <c r="C139" s="4">
        <v>120264000</v>
      </c>
      <c r="D139" s="4">
        <v>172549000</v>
      </c>
      <c r="E139" s="4">
        <v>202849000</v>
      </c>
      <c r="F139" s="4">
        <v>257135000</v>
      </c>
      <c r="G139" s="4">
        <v>320008000</v>
      </c>
      <c r="H139" s="4">
        <v>409760000</v>
      </c>
      <c r="I139" s="4">
        <v>555234000</v>
      </c>
      <c r="J139" s="4">
        <v>658559000</v>
      </c>
      <c r="K139" s="4">
        <v>705945000</v>
      </c>
      <c r="L139" s="4">
        <v>175835000</v>
      </c>
      <c r="M139" s="4">
        <v>985837000</v>
      </c>
      <c r="N139" s="4">
        <v>1242408000</v>
      </c>
      <c r="O139" s="5">
        <v>1262489000</v>
      </c>
      <c r="P139" s="4">
        <v>274585000</v>
      </c>
      <c r="Q139" s="4">
        <v>340751000</v>
      </c>
      <c r="R139" s="4">
        <v>347051000</v>
      </c>
      <c r="S139" s="4">
        <v>300102000</v>
      </c>
    </row>
    <row r="140" spans="1:19" ht="16" x14ac:dyDescent="0.2">
      <c r="A140" s="3" t="s">
        <v>142</v>
      </c>
      <c r="B140" s="4">
        <v>64936000</v>
      </c>
      <c r="C140" s="4">
        <v>75931000</v>
      </c>
      <c r="D140" s="4">
        <v>88233000</v>
      </c>
      <c r="E140" s="4">
        <v>106283000</v>
      </c>
      <c r="F140" s="4">
        <v>131764000</v>
      </c>
      <c r="G140" s="4">
        <v>165049000</v>
      </c>
      <c r="H140" s="4">
        <v>210295000</v>
      </c>
      <c r="I140" s="4">
        <v>252713000</v>
      </c>
      <c r="J140" s="4">
        <v>279472000</v>
      </c>
      <c r="K140" s="4">
        <v>295599000</v>
      </c>
      <c r="L140" s="4">
        <v>297772000</v>
      </c>
      <c r="M140" s="4">
        <v>268460000</v>
      </c>
      <c r="N140" s="4">
        <v>241372000</v>
      </c>
      <c r="O140" s="5">
        <v>237513000</v>
      </c>
      <c r="P140" s="4">
        <v>58461000</v>
      </c>
      <c r="Q140" s="4">
        <v>59190000</v>
      </c>
      <c r="R140" s="4">
        <v>57949000</v>
      </c>
      <c r="S140" s="4">
        <v>61913000</v>
      </c>
    </row>
    <row r="141" spans="1:19" ht="16" x14ac:dyDescent="0.2">
      <c r="A141" s="3" t="s">
        <v>143</v>
      </c>
      <c r="B141" s="4">
        <v>7737000</v>
      </c>
      <c r="C141" s="4">
        <v>-2143000</v>
      </c>
      <c r="D141" s="4">
        <v>-24223000</v>
      </c>
      <c r="E141" s="4">
        <v>10395000</v>
      </c>
      <c r="F141" s="4">
        <v>25408000</v>
      </c>
      <c r="G141" s="4">
        <v>15596000</v>
      </c>
      <c r="H141" s="4">
        <v>46398000</v>
      </c>
      <c r="I141" s="4">
        <v>4822000</v>
      </c>
      <c r="J141" s="4">
        <v>63601000</v>
      </c>
      <c r="K141" s="4">
        <v>315218000</v>
      </c>
      <c r="L141" s="4">
        <v>351006000</v>
      </c>
      <c r="M141" s="4">
        <v>303180000</v>
      </c>
      <c r="N141" s="4">
        <v>367297000</v>
      </c>
      <c r="O141" s="5">
        <v>374508000</v>
      </c>
      <c r="P141" s="4">
        <v>86189000</v>
      </c>
      <c r="Q141" s="4">
        <v>109369000</v>
      </c>
      <c r="R141" s="4">
        <v>88794000</v>
      </c>
      <c r="S141" s="4">
        <v>90156000</v>
      </c>
    </row>
    <row r="142" spans="1:19" ht="16" x14ac:dyDescent="0.2">
      <c r="A142" s="31" t="s">
        <v>144</v>
      </c>
      <c r="B142" s="27">
        <v>11155000</v>
      </c>
      <c r="C142" s="27">
        <v>11605000</v>
      </c>
      <c r="D142" s="27">
        <v>13375000</v>
      </c>
      <c r="E142" s="27">
        <v>16003000</v>
      </c>
      <c r="F142" s="27">
        <v>14923000</v>
      </c>
      <c r="G142" s="27">
        <v>15594000</v>
      </c>
      <c r="H142" s="27">
        <v>19340000</v>
      </c>
      <c r="I142" s="27">
        <v>24399000</v>
      </c>
      <c r="J142" s="27">
        <v>26636000</v>
      </c>
      <c r="K142" s="27">
        <v>25045000</v>
      </c>
      <c r="L142" s="27">
        <v>27583000</v>
      </c>
      <c r="M142" s="27">
        <v>47259000</v>
      </c>
      <c r="N142" s="27">
        <v>43044000</v>
      </c>
      <c r="O142" s="28">
        <v>41708000</v>
      </c>
      <c r="P142" s="27">
        <v>9679000</v>
      </c>
      <c r="Q142" s="27">
        <v>10490000</v>
      </c>
      <c r="R142" s="27">
        <v>9721000</v>
      </c>
      <c r="S142" s="27">
        <v>11818000</v>
      </c>
    </row>
    <row r="143" spans="1:19" ht="16" x14ac:dyDescent="0.2">
      <c r="A143" s="12" t="s">
        <v>198</v>
      </c>
      <c r="B143" s="20">
        <f t="shared" ref="B143:S143" si="10">B142/B2</f>
        <v>7.6675203699655909E-3</v>
      </c>
      <c r="C143" s="20">
        <f t="shared" si="10"/>
        <v>6.5337913274265535E-3</v>
      </c>
      <c r="D143" s="20">
        <f t="shared" si="10"/>
        <v>6.0240801060778577E-3</v>
      </c>
      <c r="E143" s="20">
        <f t="shared" si="10"/>
        <v>5.9923469607458778E-3</v>
      </c>
      <c r="F143" s="20">
        <f t="shared" si="10"/>
        <v>4.6039188996994792E-3</v>
      </c>
      <c r="G143" s="20">
        <f t="shared" si="10"/>
        <v>3.973888641416309E-3</v>
      </c>
      <c r="H143" s="20">
        <f t="shared" si="10"/>
        <v>3.9837379450215326E-3</v>
      </c>
      <c r="I143" s="20">
        <f t="shared" si="10"/>
        <v>4.1463123667475231E-3</v>
      </c>
      <c r="J143" s="20">
        <f t="shared" si="10"/>
        <v>3.9656880735310868E-3</v>
      </c>
      <c r="K143" s="20">
        <f t="shared" si="10"/>
        <v>3.3853433085502863E-3</v>
      </c>
      <c r="L143" s="20">
        <f t="shared" si="10"/>
        <v>4.4836168286721302E-3</v>
      </c>
      <c r="M143" s="20">
        <f t="shared" si="10"/>
        <v>5.475565726775075E-3</v>
      </c>
      <c r="N143" s="20">
        <f t="shared" si="10"/>
        <v>4.2164532187630409E-3</v>
      </c>
      <c r="O143" s="20">
        <f t="shared" si="10"/>
        <v>3.8871768087609293E-3</v>
      </c>
      <c r="P143" s="20">
        <f t="shared" si="10"/>
        <v>4.1384594532307903E-3</v>
      </c>
      <c r="Q143" s="20">
        <f t="shared" si="10"/>
        <v>3.2509259250650727E-3</v>
      </c>
      <c r="R143" s="20">
        <f t="shared" si="10"/>
        <v>3.6902162008880662E-3</v>
      </c>
      <c r="S143" s="20">
        <f t="shared" si="10"/>
        <v>4.6714989155307775E-3</v>
      </c>
    </row>
    <row r="144" spans="1:19" ht="16" x14ac:dyDescent="0.2">
      <c r="A144" s="3" t="s">
        <v>145</v>
      </c>
      <c r="B144" s="4">
        <v>7741000</v>
      </c>
      <c r="C144" s="4">
        <v>10827000</v>
      </c>
      <c r="D144" s="4">
        <v>8673000</v>
      </c>
      <c r="E144" s="4">
        <v>3868000</v>
      </c>
      <c r="F144" s="4">
        <v>9246000</v>
      </c>
      <c r="G144" s="4">
        <v>5809000</v>
      </c>
      <c r="H144" s="4">
        <v>26971000</v>
      </c>
      <c r="I144" s="4">
        <v>-27095000</v>
      </c>
      <c r="J144" s="4">
        <v>34080000</v>
      </c>
      <c r="K144" s="4">
        <v>5503000</v>
      </c>
      <c r="L144" s="4">
        <v>-24008000</v>
      </c>
      <c r="M144" s="4">
        <v>-25666000</v>
      </c>
      <c r="N144" s="4">
        <v>15653000</v>
      </c>
      <c r="O144" s="5">
        <v>15983000</v>
      </c>
      <c r="P144" s="4">
        <v>-1402000</v>
      </c>
      <c r="Q144" s="4">
        <v>16719000</v>
      </c>
      <c r="R144" s="4">
        <v>2144000</v>
      </c>
      <c r="S144" s="4">
        <v>-1478000</v>
      </c>
    </row>
    <row r="145" spans="1:19" ht="16" x14ac:dyDescent="0.2">
      <c r="A145" s="3" t="s">
        <v>146</v>
      </c>
      <c r="B145" s="4" t="s">
        <v>23</v>
      </c>
      <c r="C145" s="4" t="s">
        <v>23</v>
      </c>
      <c r="D145" s="4" t="s">
        <v>23</v>
      </c>
      <c r="E145" s="4" t="s">
        <v>23</v>
      </c>
      <c r="F145" s="4" t="s">
        <v>23</v>
      </c>
      <c r="G145" s="4" t="s">
        <v>23</v>
      </c>
      <c r="H145" s="4" t="s">
        <v>23</v>
      </c>
      <c r="I145" s="4" t="s">
        <v>23</v>
      </c>
      <c r="J145" s="4" t="s">
        <v>23</v>
      </c>
      <c r="K145" s="4" t="s">
        <v>23</v>
      </c>
      <c r="L145" s="4">
        <v>72533000</v>
      </c>
      <c r="M145" s="4" t="s">
        <v>23</v>
      </c>
      <c r="N145" s="4" t="s">
        <v>23</v>
      </c>
      <c r="O145" s="5" t="s">
        <v>23</v>
      </c>
      <c r="P145" s="4" t="s">
        <v>23</v>
      </c>
      <c r="Q145" s="4" t="s">
        <v>23</v>
      </c>
      <c r="R145" s="4" t="s">
        <v>23</v>
      </c>
      <c r="S145" s="4" t="s">
        <v>23</v>
      </c>
    </row>
    <row r="146" spans="1:19" ht="16" x14ac:dyDescent="0.2">
      <c r="A146" s="3" t="s">
        <v>147</v>
      </c>
      <c r="B146" s="4">
        <v>-11159000</v>
      </c>
      <c r="C146" s="4">
        <v>-24575000</v>
      </c>
      <c r="D146" s="4">
        <v>-46271000</v>
      </c>
      <c r="E146" s="4">
        <v>-9476000</v>
      </c>
      <c r="F146" s="4">
        <v>1239000</v>
      </c>
      <c r="G146" s="4">
        <v>-5807000</v>
      </c>
      <c r="H146" s="4">
        <v>87000</v>
      </c>
      <c r="I146" s="4">
        <v>7518000</v>
      </c>
      <c r="J146" s="4">
        <v>2885000</v>
      </c>
      <c r="K146" s="4">
        <v>284670000</v>
      </c>
      <c r="L146" s="4">
        <v>274898000</v>
      </c>
      <c r="M146" s="4">
        <v>281587000</v>
      </c>
      <c r="N146" s="4">
        <v>308600000</v>
      </c>
      <c r="O146" s="5">
        <v>316817000</v>
      </c>
      <c r="P146" s="4">
        <v>77912000</v>
      </c>
      <c r="Q146" s="4">
        <v>82160000</v>
      </c>
      <c r="R146" s="4">
        <v>76929000</v>
      </c>
      <c r="S146" s="4">
        <v>79816000</v>
      </c>
    </row>
    <row r="147" spans="1:19" ht="16" x14ac:dyDescent="0.2">
      <c r="A147" s="3" t="s">
        <v>148</v>
      </c>
      <c r="B147" s="4">
        <v>32840000</v>
      </c>
      <c r="C147" s="4">
        <v>26835000</v>
      </c>
      <c r="D147" s="4">
        <v>2442000</v>
      </c>
      <c r="E147" s="4">
        <v>8198000</v>
      </c>
      <c r="F147" s="4">
        <v>-17715000</v>
      </c>
      <c r="G147" s="4">
        <v>-124779000</v>
      </c>
      <c r="H147" s="4">
        <v>-31768000</v>
      </c>
      <c r="I147" s="4">
        <v>-34569000</v>
      </c>
      <c r="J147" s="4">
        <v>-45505000</v>
      </c>
      <c r="K147" s="4">
        <v>-215469000</v>
      </c>
      <c r="L147" s="4">
        <v>-14258000</v>
      </c>
      <c r="M147" s="4">
        <v>-498212000</v>
      </c>
      <c r="N147" s="4">
        <v>-369162000</v>
      </c>
      <c r="O147" s="5">
        <v>-504454000</v>
      </c>
      <c r="P147" s="4">
        <v>-386476000</v>
      </c>
      <c r="Q147" s="4">
        <v>399179000</v>
      </c>
      <c r="R147" s="4">
        <v>-188893000</v>
      </c>
      <c r="S147" s="4">
        <v>-328264000</v>
      </c>
    </row>
    <row r="148" spans="1:19" ht="16" x14ac:dyDescent="0.2">
      <c r="A148" s="3" t="s">
        <v>149</v>
      </c>
      <c r="B148" s="4">
        <v>-8815000</v>
      </c>
      <c r="C148" s="4">
        <v>-3861000</v>
      </c>
      <c r="D148" s="4">
        <v>-15362000</v>
      </c>
      <c r="E148" s="4">
        <v>-5534000</v>
      </c>
      <c r="F148" s="4">
        <v>-5391000</v>
      </c>
      <c r="G148" s="4">
        <v>-12552000</v>
      </c>
      <c r="H148" s="4">
        <v>-23639000</v>
      </c>
      <c r="I148" s="4">
        <v>-11088000</v>
      </c>
      <c r="J148" s="4">
        <v>-36387000</v>
      </c>
      <c r="K148" s="4">
        <v>-20637000</v>
      </c>
      <c r="L148" s="4">
        <v>-53772000</v>
      </c>
      <c r="M148" s="4">
        <v>-40573000</v>
      </c>
      <c r="N148" s="4">
        <v>34260000</v>
      </c>
      <c r="O148" s="5">
        <v>6070000</v>
      </c>
      <c r="P148" s="4">
        <v>-19790000</v>
      </c>
      <c r="Q148" s="4">
        <v>882000</v>
      </c>
      <c r="R148" s="4">
        <v>9140000</v>
      </c>
      <c r="S148" s="4">
        <v>15838000</v>
      </c>
    </row>
    <row r="149" spans="1:19" ht="16" x14ac:dyDescent="0.2">
      <c r="A149" s="3" t="s">
        <v>150</v>
      </c>
      <c r="B149" s="4">
        <v>-11568000</v>
      </c>
      <c r="C149" s="4">
        <v>-26131000</v>
      </c>
      <c r="D149" s="4">
        <v>-116478000</v>
      </c>
      <c r="E149" s="4">
        <v>-96808000</v>
      </c>
      <c r="F149" s="4">
        <v>-123296000</v>
      </c>
      <c r="G149" s="4">
        <v>-180564000</v>
      </c>
      <c r="H149" s="4">
        <v>-182182000</v>
      </c>
      <c r="I149" s="4">
        <v>-152449000</v>
      </c>
      <c r="J149" s="4">
        <v>-122019000</v>
      </c>
      <c r="K149" s="4">
        <v>-79372000</v>
      </c>
      <c r="L149" s="4">
        <v>125486000</v>
      </c>
      <c r="M149" s="4">
        <v>-331003000</v>
      </c>
      <c r="N149" s="4">
        <v>-104233000</v>
      </c>
      <c r="O149" s="5">
        <v>-149409000</v>
      </c>
      <c r="P149" s="4">
        <v>-448539000</v>
      </c>
      <c r="Q149" s="4">
        <v>511218000</v>
      </c>
      <c r="R149" s="4">
        <v>-147784000</v>
      </c>
      <c r="S149" s="4">
        <v>-64304000</v>
      </c>
    </row>
    <row r="150" spans="1:19" ht="16" x14ac:dyDescent="0.2">
      <c r="A150" s="3" t="s">
        <v>151</v>
      </c>
      <c r="B150" s="4">
        <v>-2518000</v>
      </c>
      <c r="C150" s="4">
        <v>-10640000</v>
      </c>
      <c r="D150" s="4">
        <v>-9888000</v>
      </c>
      <c r="E150" s="4">
        <v>-5541000</v>
      </c>
      <c r="F150" s="4">
        <v>-10555000</v>
      </c>
      <c r="G150" s="4">
        <v>-6000000</v>
      </c>
      <c r="H150" s="4">
        <v>-16073000</v>
      </c>
      <c r="I150" s="4">
        <v>-10045000</v>
      </c>
      <c r="J150" s="4">
        <v>-39450000</v>
      </c>
      <c r="K150" s="4">
        <v>9289000</v>
      </c>
      <c r="L150" s="4">
        <v>-4363000</v>
      </c>
      <c r="M150" s="4">
        <v>-3412000</v>
      </c>
      <c r="N150" s="4">
        <v>-19432000</v>
      </c>
      <c r="O150" s="5">
        <v>12490000</v>
      </c>
      <c r="P150" s="4">
        <v>-14628000</v>
      </c>
      <c r="Q150" s="4">
        <v>7396000</v>
      </c>
      <c r="R150" s="4">
        <v>22232000</v>
      </c>
      <c r="S150" s="4">
        <v>-2510000</v>
      </c>
    </row>
    <row r="151" spans="1:19" ht="16" x14ac:dyDescent="0.2">
      <c r="A151" s="3" t="s">
        <v>152</v>
      </c>
      <c r="B151" s="4">
        <v>34887000</v>
      </c>
      <c r="C151" s="4">
        <v>-2009000</v>
      </c>
      <c r="D151" s="4">
        <v>46233000</v>
      </c>
      <c r="E151" s="4">
        <v>43611000</v>
      </c>
      <c r="F151" s="4">
        <v>80140000</v>
      </c>
      <c r="G151" s="4">
        <v>43322000</v>
      </c>
      <c r="H151" s="4">
        <v>134401000</v>
      </c>
      <c r="I151" s="4">
        <v>103131000</v>
      </c>
      <c r="J151" s="4">
        <v>158205000</v>
      </c>
      <c r="K151" s="4">
        <v>38176000</v>
      </c>
      <c r="L151" s="4">
        <v>120923000</v>
      </c>
      <c r="M151" s="4">
        <v>124754000</v>
      </c>
      <c r="N151" s="4">
        <v>56558000</v>
      </c>
      <c r="O151" s="5">
        <v>-75644000</v>
      </c>
      <c r="P151" s="4">
        <v>167691000</v>
      </c>
      <c r="Q151" s="4">
        <v>-101820000</v>
      </c>
      <c r="R151" s="4">
        <v>-36258000</v>
      </c>
      <c r="S151" s="4">
        <v>-105257000</v>
      </c>
    </row>
    <row r="152" spans="1:19" ht="16" x14ac:dyDescent="0.2">
      <c r="A152" s="3" t="s">
        <v>153</v>
      </c>
      <c r="B152" s="4">
        <v>20854000</v>
      </c>
      <c r="C152" s="4">
        <v>69476000</v>
      </c>
      <c r="D152" s="4">
        <v>97937000</v>
      </c>
      <c r="E152" s="4">
        <v>72470000</v>
      </c>
      <c r="F152" s="4">
        <v>41387000</v>
      </c>
      <c r="G152" s="4">
        <v>31015000</v>
      </c>
      <c r="H152" s="4">
        <v>55725000</v>
      </c>
      <c r="I152" s="4">
        <v>35882000</v>
      </c>
      <c r="J152" s="4">
        <v>-5854000</v>
      </c>
      <c r="K152" s="4">
        <v>-162925000</v>
      </c>
      <c r="L152" s="4">
        <v>-202532000</v>
      </c>
      <c r="M152" s="4">
        <v>-247978000</v>
      </c>
      <c r="N152" s="4">
        <v>-336315000</v>
      </c>
      <c r="O152" s="5">
        <v>-297961000</v>
      </c>
      <c r="P152" s="4">
        <v>-71210000</v>
      </c>
      <c r="Q152" s="4">
        <v>-18497000</v>
      </c>
      <c r="R152" s="4">
        <v>-36223000</v>
      </c>
      <c r="S152" s="4">
        <v>-172031000</v>
      </c>
    </row>
    <row r="153" spans="1:19" ht="16" x14ac:dyDescent="0.2">
      <c r="A153" s="3" t="s">
        <v>154</v>
      </c>
      <c r="B153" s="4" t="s">
        <v>23</v>
      </c>
      <c r="C153" s="4" t="s">
        <v>23</v>
      </c>
      <c r="D153" s="4" t="s">
        <v>23</v>
      </c>
      <c r="E153" s="4" t="s">
        <v>23</v>
      </c>
      <c r="F153" s="4" t="s">
        <v>23</v>
      </c>
      <c r="G153" s="4" t="s">
        <v>23</v>
      </c>
      <c r="H153" s="4" t="s">
        <v>23</v>
      </c>
      <c r="I153" s="4" t="s">
        <v>23</v>
      </c>
      <c r="J153" s="4" t="s">
        <v>23</v>
      </c>
      <c r="K153" s="4" t="s">
        <v>23</v>
      </c>
      <c r="L153" s="4" t="s">
        <v>23</v>
      </c>
      <c r="M153" s="4" t="s">
        <v>23</v>
      </c>
      <c r="N153" s="4" t="s">
        <v>23</v>
      </c>
      <c r="O153" s="5" t="s">
        <v>23</v>
      </c>
      <c r="P153" s="4" t="s">
        <v>23</v>
      </c>
      <c r="Q153" s="4" t="s">
        <v>23</v>
      </c>
      <c r="R153" s="4" t="s">
        <v>23</v>
      </c>
      <c r="S153" s="4" t="s">
        <v>23</v>
      </c>
    </row>
    <row r="154" spans="1:19" ht="16" x14ac:dyDescent="0.2">
      <c r="A154" s="3" t="s">
        <v>155</v>
      </c>
      <c r="B154" s="4">
        <v>176543000</v>
      </c>
      <c r="C154" s="4">
        <v>220887000</v>
      </c>
      <c r="D154" s="4">
        <v>239001000</v>
      </c>
      <c r="E154" s="4">
        <v>327725000</v>
      </c>
      <c r="F154" s="4">
        <v>396592000</v>
      </c>
      <c r="G154" s="4">
        <v>375874000</v>
      </c>
      <c r="H154" s="4">
        <v>634685000</v>
      </c>
      <c r="I154" s="4">
        <v>778200000</v>
      </c>
      <c r="J154" s="4">
        <v>956127000</v>
      </c>
      <c r="K154" s="4">
        <v>1101293000</v>
      </c>
      <c r="L154" s="4">
        <v>810355000</v>
      </c>
      <c r="M154" s="4">
        <v>1059265000</v>
      </c>
      <c r="N154" s="4">
        <v>1481915000</v>
      </c>
      <c r="O154" s="5">
        <v>1370056000</v>
      </c>
      <c r="P154" s="4">
        <v>32759000</v>
      </c>
      <c r="Q154" s="4">
        <v>908489000</v>
      </c>
      <c r="R154" s="4">
        <v>304901000</v>
      </c>
      <c r="S154" s="4">
        <v>123907000</v>
      </c>
    </row>
    <row r="155" spans="1:19" ht="16" x14ac:dyDescent="0.2">
      <c r="A155" s="3" t="s">
        <v>156</v>
      </c>
      <c r="B155" s="4" t="s">
        <v>23</v>
      </c>
      <c r="C155" s="4" t="s">
        <v>23</v>
      </c>
      <c r="D155" s="4" t="s">
        <v>23</v>
      </c>
      <c r="E155" s="4" t="s">
        <v>23</v>
      </c>
      <c r="F155" s="4" t="s">
        <v>23</v>
      </c>
      <c r="G155" s="4" t="s">
        <v>23</v>
      </c>
      <c r="H155" s="4" t="s">
        <v>23</v>
      </c>
      <c r="I155" s="4" t="s">
        <v>23</v>
      </c>
      <c r="J155" s="4" t="s">
        <v>23</v>
      </c>
      <c r="K155" s="4" t="s">
        <v>23</v>
      </c>
      <c r="L155" s="4" t="s">
        <v>23</v>
      </c>
      <c r="M155" s="4" t="s">
        <v>23</v>
      </c>
      <c r="N155" s="4" t="s">
        <v>23</v>
      </c>
      <c r="O155" s="5" t="s">
        <v>23</v>
      </c>
      <c r="P155" s="4" t="s">
        <v>23</v>
      </c>
      <c r="Q155" s="4" t="s">
        <v>23</v>
      </c>
      <c r="R155" s="4" t="s">
        <v>23</v>
      </c>
      <c r="S155" s="4" t="s">
        <v>23</v>
      </c>
    </row>
    <row r="156" spans="1:19" ht="16" x14ac:dyDescent="0.2">
      <c r="A156" s="3" t="s">
        <v>157</v>
      </c>
      <c r="B156" s="4" t="s">
        <v>23</v>
      </c>
      <c r="C156" s="4" t="s">
        <v>23</v>
      </c>
      <c r="D156" s="4" t="s">
        <v>23</v>
      </c>
      <c r="E156" s="4" t="s">
        <v>23</v>
      </c>
      <c r="F156" s="4" t="s">
        <v>23</v>
      </c>
      <c r="G156" s="4" t="s">
        <v>23</v>
      </c>
      <c r="H156" s="4" t="s">
        <v>23</v>
      </c>
      <c r="I156" s="4" t="s">
        <v>23</v>
      </c>
      <c r="J156" s="4" t="s">
        <v>23</v>
      </c>
      <c r="K156" s="4" t="s">
        <v>23</v>
      </c>
      <c r="L156" s="4" t="s">
        <v>23</v>
      </c>
      <c r="M156" s="4" t="s">
        <v>23</v>
      </c>
      <c r="N156" s="4" t="s">
        <v>23</v>
      </c>
      <c r="O156" s="5" t="s">
        <v>23</v>
      </c>
      <c r="P156" s="4" t="s">
        <v>23</v>
      </c>
      <c r="Q156" s="4" t="s">
        <v>23</v>
      </c>
      <c r="R156" s="4" t="s">
        <v>23</v>
      </c>
      <c r="S156" s="4" t="s">
        <v>23</v>
      </c>
    </row>
    <row r="157" spans="1:19" ht="16" x14ac:dyDescent="0.2">
      <c r="A157" s="3" t="s">
        <v>158</v>
      </c>
      <c r="B157" s="4" t="s">
        <v>23</v>
      </c>
      <c r="C157" s="4" t="s">
        <v>23</v>
      </c>
      <c r="D157" s="4" t="s">
        <v>23</v>
      </c>
      <c r="E157" s="4" t="s">
        <v>23</v>
      </c>
      <c r="F157" s="4" t="s">
        <v>23</v>
      </c>
      <c r="G157" s="4" t="s">
        <v>23</v>
      </c>
      <c r="H157" s="4" t="s">
        <v>23</v>
      </c>
      <c r="I157" s="4" t="s">
        <v>23</v>
      </c>
      <c r="J157" s="4" t="s">
        <v>23</v>
      </c>
      <c r="K157" s="4" t="s">
        <v>23</v>
      </c>
      <c r="L157" s="4" t="s">
        <v>23</v>
      </c>
      <c r="M157" s="4" t="s">
        <v>23</v>
      </c>
      <c r="N157" s="4" t="s">
        <v>23</v>
      </c>
      <c r="O157" s="5" t="s">
        <v>23</v>
      </c>
      <c r="P157" s="4" t="s">
        <v>23</v>
      </c>
      <c r="Q157" s="4" t="s">
        <v>23</v>
      </c>
      <c r="R157" s="4" t="s">
        <v>23</v>
      </c>
      <c r="S157" s="4" t="s">
        <v>23</v>
      </c>
    </row>
    <row r="158" spans="1:19" ht="16" x14ac:dyDescent="0.2">
      <c r="A158" s="3" t="s">
        <v>159</v>
      </c>
      <c r="B158" s="4" t="s">
        <v>23</v>
      </c>
      <c r="C158" s="4" t="s">
        <v>23</v>
      </c>
      <c r="D158" s="4" t="s">
        <v>23</v>
      </c>
      <c r="E158" s="4" t="s">
        <v>23</v>
      </c>
      <c r="F158" s="4" t="s">
        <v>23</v>
      </c>
      <c r="G158" s="4" t="s">
        <v>23</v>
      </c>
      <c r="H158" s="4" t="s">
        <v>23</v>
      </c>
      <c r="I158" s="4" t="s">
        <v>23</v>
      </c>
      <c r="J158" s="4" t="s">
        <v>23</v>
      </c>
      <c r="K158" s="4" t="s">
        <v>23</v>
      </c>
      <c r="L158" s="4" t="s">
        <v>23</v>
      </c>
      <c r="M158" s="4" t="s">
        <v>23</v>
      </c>
      <c r="N158" s="4" t="s">
        <v>23</v>
      </c>
      <c r="O158" s="5" t="s">
        <v>23</v>
      </c>
      <c r="P158" s="4" t="s">
        <v>23</v>
      </c>
      <c r="Q158" s="4" t="s">
        <v>23</v>
      </c>
      <c r="R158" s="4" t="s">
        <v>23</v>
      </c>
      <c r="S158" s="4" t="s">
        <v>23</v>
      </c>
    </row>
    <row r="159" spans="1:19" ht="16" x14ac:dyDescent="0.2">
      <c r="A159" s="3" t="s">
        <v>160</v>
      </c>
      <c r="B159" s="4">
        <v>-97115000</v>
      </c>
      <c r="C159" s="4">
        <v>-128636000</v>
      </c>
      <c r="D159" s="4">
        <v>-188578000</v>
      </c>
      <c r="E159" s="4">
        <v>-226024000</v>
      </c>
      <c r="F159" s="4">
        <v>-249067000</v>
      </c>
      <c r="G159" s="4">
        <v>-299167000</v>
      </c>
      <c r="H159" s="4">
        <v>-373747000</v>
      </c>
      <c r="I159" s="4">
        <v>-440714000</v>
      </c>
      <c r="J159" s="4">
        <v>-319400000</v>
      </c>
      <c r="K159" s="4">
        <v>-298534000</v>
      </c>
      <c r="L159" s="4">
        <v>-151866000</v>
      </c>
      <c r="M159" s="4">
        <v>-172187000</v>
      </c>
      <c r="N159" s="4">
        <v>-312126000</v>
      </c>
      <c r="O159" s="5">
        <v>-396374000</v>
      </c>
      <c r="P159" s="4">
        <v>-83461000</v>
      </c>
      <c r="Q159" s="4">
        <v>-108165000</v>
      </c>
      <c r="R159" s="4">
        <v>-109766000</v>
      </c>
      <c r="S159" s="4">
        <v>-94982000</v>
      </c>
    </row>
    <row r="160" spans="1:19" ht="16" x14ac:dyDescent="0.2">
      <c r="A160" s="3" t="s">
        <v>161</v>
      </c>
      <c r="B160" s="4">
        <v>-97115000</v>
      </c>
      <c r="C160" s="4">
        <v>-128636000</v>
      </c>
      <c r="D160" s="4">
        <v>-188578000</v>
      </c>
      <c r="E160" s="4">
        <v>-226024000</v>
      </c>
      <c r="F160" s="4">
        <v>-249067000</v>
      </c>
      <c r="G160" s="4">
        <v>-299167000</v>
      </c>
      <c r="H160" s="4">
        <v>-373747000</v>
      </c>
      <c r="I160" s="4">
        <v>-440714000</v>
      </c>
      <c r="J160" s="4">
        <v>-319400000</v>
      </c>
      <c r="K160" s="4">
        <v>-298534000</v>
      </c>
      <c r="L160" s="4">
        <v>-151866000</v>
      </c>
      <c r="M160" s="4">
        <v>-172187000</v>
      </c>
      <c r="N160" s="4">
        <v>-312126000</v>
      </c>
      <c r="O160" s="5">
        <v>-396374000</v>
      </c>
      <c r="P160" s="4">
        <v>-83461000</v>
      </c>
      <c r="Q160" s="4">
        <v>-108165000</v>
      </c>
      <c r="R160" s="4">
        <v>-109766000</v>
      </c>
      <c r="S160" s="4">
        <v>-94982000</v>
      </c>
    </row>
    <row r="161" spans="1:19" ht="16" x14ac:dyDescent="0.2">
      <c r="A161" s="3" t="s">
        <v>162</v>
      </c>
      <c r="B161" s="4" t="s">
        <v>23</v>
      </c>
      <c r="C161" s="4" t="s">
        <v>23</v>
      </c>
      <c r="D161" s="4" t="s">
        <v>23</v>
      </c>
      <c r="E161" s="4" t="s">
        <v>23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4" t="s">
        <v>23</v>
      </c>
      <c r="N161" s="4" t="s">
        <v>23</v>
      </c>
      <c r="O161" s="5" t="s">
        <v>23</v>
      </c>
      <c r="P161" s="4" t="s">
        <v>23</v>
      </c>
      <c r="Q161" s="4" t="s">
        <v>23</v>
      </c>
      <c r="R161" s="4" t="s">
        <v>23</v>
      </c>
      <c r="S161" s="4" t="s">
        <v>23</v>
      </c>
    </row>
    <row r="162" spans="1:19" ht="16" x14ac:dyDescent="0.2">
      <c r="A162" s="3" t="s">
        <v>163</v>
      </c>
      <c r="B162" s="4" t="s">
        <v>23</v>
      </c>
      <c r="C162" s="4" t="s">
        <v>23</v>
      </c>
      <c r="D162" s="4" t="s">
        <v>23</v>
      </c>
      <c r="E162" s="4" t="s">
        <v>23</v>
      </c>
      <c r="F162" s="4">
        <v>-150209000</v>
      </c>
      <c r="G162" s="4">
        <v>20209000</v>
      </c>
      <c r="H162" s="4">
        <v>100000000</v>
      </c>
      <c r="I162" s="4">
        <v>-90000000</v>
      </c>
      <c r="J162" s="4">
        <v>120000000</v>
      </c>
      <c r="K162" s="4">
        <v>-110000000</v>
      </c>
      <c r="L162" s="4">
        <v>104335000</v>
      </c>
      <c r="M162" s="4">
        <v>-4297000</v>
      </c>
      <c r="N162" s="4">
        <v>-2458000</v>
      </c>
      <c r="O162" s="5">
        <v>-1687000</v>
      </c>
      <c r="P162" s="4" t="s">
        <v>23</v>
      </c>
      <c r="Q162" s="4" t="s">
        <v>23</v>
      </c>
      <c r="R162" s="4">
        <v>-314000</v>
      </c>
      <c r="S162" s="4">
        <v>-1373000</v>
      </c>
    </row>
    <row r="163" spans="1:19" ht="16" x14ac:dyDescent="0.2">
      <c r="A163" s="3" t="s">
        <v>164</v>
      </c>
      <c r="B163" s="4" t="s">
        <v>23</v>
      </c>
      <c r="C163" s="4" t="s">
        <v>23</v>
      </c>
      <c r="D163" s="4" t="s">
        <v>23</v>
      </c>
      <c r="E163" s="4" t="s">
        <v>23</v>
      </c>
      <c r="F163" s="4">
        <v>50000000</v>
      </c>
      <c r="G163" s="4">
        <v>150209000</v>
      </c>
      <c r="H163" s="4">
        <v>190000000</v>
      </c>
      <c r="I163" s="4">
        <v>240000000</v>
      </c>
      <c r="J163" s="4">
        <v>506193000</v>
      </c>
      <c r="K163" s="4" t="s">
        <v>23</v>
      </c>
      <c r="L163" s="4">
        <v>110000000</v>
      </c>
      <c r="M163" s="4" t="s">
        <v>23</v>
      </c>
      <c r="N163" s="4" t="s">
        <v>23</v>
      </c>
      <c r="O163" s="5" t="s">
        <v>23</v>
      </c>
      <c r="P163" s="4" t="s">
        <v>23</v>
      </c>
      <c r="Q163" s="4" t="s">
        <v>23</v>
      </c>
      <c r="R163" s="4" t="s">
        <v>23</v>
      </c>
      <c r="S163" s="4" t="s">
        <v>23</v>
      </c>
    </row>
    <row r="164" spans="1:19" ht="16" x14ac:dyDescent="0.2">
      <c r="A164" s="3" t="s">
        <v>165</v>
      </c>
      <c r="B164" s="4" t="s">
        <v>23</v>
      </c>
      <c r="C164" s="4" t="s">
        <v>23</v>
      </c>
      <c r="D164" s="4" t="s">
        <v>23</v>
      </c>
      <c r="E164" s="4" t="s">
        <v>23</v>
      </c>
      <c r="F164" s="4">
        <v>-200209000</v>
      </c>
      <c r="G164" s="4">
        <v>-130000000</v>
      </c>
      <c r="H164" s="4">
        <v>-90000000</v>
      </c>
      <c r="I164" s="4">
        <v>-330000000</v>
      </c>
      <c r="J164" s="4">
        <v>-386193000</v>
      </c>
      <c r="K164" s="4">
        <v>-110000000</v>
      </c>
      <c r="L164" s="4">
        <v>-5665000</v>
      </c>
      <c r="M164" s="4">
        <v>-4297000</v>
      </c>
      <c r="N164" s="4">
        <v>-2458000</v>
      </c>
      <c r="O164" s="5">
        <v>-1687000</v>
      </c>
      <c r="P164" s="4" t="s">
        <v>23</v>
      </c>
      <c r="Q164" s="4" t="s">
        <v>23</v>
      </c>
      <c r="R164" s="4">
        <v>-314000</v>
      </c>
      <c r="S164" s="4">
        <v>-1373000</v>
      </c>
    </row>
    <row r="165" spans="1:19" ht="16" x14ac:dyDescent="0.2">
      <c r="A165" s="3" t="s">
        <v>166</v>
      </c>
      <c r="B165" s="4" t="s">
        <v>23</v>
      </c>
      <c r="C165" s="4" t="s">
        <v>23</v>
      </c>
      <c r="D165" s="4" t="s">
        <v>23</v>
      </c>
      <c r="E165" s="4" t="s">
        <v>23</v>
      </c>
      <c r="F165" s="4" t="s">
        <v>23</v>
      </c>
      <c r="G165" s="4" t="s">
        <v>23</v>
      </c>
      <c r="H165" s="4" t="s">
        <v>23</v>
      </c>
      <c r="I165" s="4" t="s">
        <v>23</v>
      </c>
      <c r="J165" s="4">
        <v>-15707000</v>
      </c>
      <c r="K165" s="4">
        <v>-62946000</v>
      </c>
      <c r="L165" s="4">
        <v>-1220000</v>
      </c>
      <c r="M165" s="4" t="s">
        <v>23</v>
      </c>
      <c r="N165" s="4" t="s">
        <v>23</v>
      </c>
      <c r="O165" s="5" t="s">
        <v>23</v>
      </c>
      <c r="P165" s="4" t="s">
        <v>23</v>
      </c>
      <c r="Q165" s="4" t="s">
        <v>23</v>
      </c>
      <c r="R165" s="4" t="s">
        <v>23</v>
      </c>
      <c r="S165" s="4" t="s">
        <v>23</v>
      </c>
    </row>
    <row r="166" spans="1:19" ht="16" x14ac:dyDescent="0.2">
      <c r="A166" s="3" t="s">
        <v>167</v>
      </c>
      <c r="B166" s="4" t="s">
        <v>23</v>
      </c>
      <c r="C166" s="4" t="s">
        <v>23</v>
      </c>
      <c r="D166" s="4" t="s">
        <v>23</v>
      </c>
      <c r="E166" s="4" t="s">
        <v>23</v>
      </c>
      <c r="F166" s="4" t="s">
        <v>23</v>
      </c>
      <c r="G166" s="4" t="s">
        <v>23</v>
      </c>
      <c r="H166" s="4" t="s">
        <v>23</v>
      </c>
      <c r="I166" s="4" t="s">
        <v>23</v>
      </c>
      <c r="J166" s="4" t="s">
        <v>23</v>
      </c>
      <c r="K166" s="4" t="s">
        <v>23</v>
      </c>
      <c r="L166" s="4" t="s">
        <v>23</v>
      </c>
      <c r="M166" s="4" t="s">
        <v>23</v>
      </c>
      <c r="N166" s="4" t="s">
        <v>23</v>
      </c>
      <c r="O166" s="5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</row>
    <row r="167" spans="1:19" ht="16" x14ac:dyDescent="0.2">
      <c r="A167" s="3" t="s">
        <v>168</v>
      </c>
      <c r="B167" s="4" t="s">
        <v>23</v>
      </c>
      <c r="C167" s="4" t="s">
        <v>23</v>
      </c>
      <c r="D167" s="4" t="s">
        <v>23</v>
      </c>
      <c r="E167" s="4" t="s">
        <v>23</v>
      </c>
      <c r="F167" s="4" t="s">
        <v>23</v>
      </c>
      <c r="G167" s="4" t="s">
        <v>23</v>
      </c>
      <c r="H167" s="4" t="s">
        <v>23</v>
      </c>
      <c r="I167" s="4" t="s">
        <v>23</v>
      </c>
      <c r="J167" s="4">
        <v>-15707000</v>
      </c>
      <c r="K167" s="4">
        <v>-62946000</v>
      </c>
      <c r="L167" s="4">
        <v>-1220000</v>
      </c>
      <c r="M167" s="4" t="s">
        <v>23</v>
      </c>
      <c r="N167" s="4" t="s">
        <v>23</v>
      </c>
      <c r="O167" s="5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</row>
    <row r="168" spans="1:19" ht="16" x14ac:dyDescent="0.2">
      <c r="A168" s="3" t="s">
        <v>169</v>
      </c>
      <c r="B168" s="4" t="s">
        <v>23</v>
      </c>
      <c r="C168" s="4" t="s">
        <v>23</v>
      </c>
      <c r="D168" s="4" t="s">
        <v>23</v>
      </c>
      <c r="E168" s="4" t="s">
        <v>23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23</v>
      </c>
      <c r="L168" s="4" t="s">
        <v>23</v>
      </c>
      <c r="M168" s="4" t="s">
        <v>23</v>
      </c>
      <c r="N168" s="4" t="s">
        <v>23</v>
      </c>
      <c r="O168" s="5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</row>
    <row r="169" spans="1:19" ht="16" x14ac:dyDescent="0.2">
      <c r="A169" s="3" t="s">
        <v>170</v>
      </c>
      <c r="B169" s="4" t="s">
        <v>23</v>
      </c>
      <c r="C169" s="4" t="s">
        <v>23</v>
      </c>
      <c r="D169" s="4" t="s">
        <v>23</v>
      </c>
      <c r="E169" s="4" t="s">
        <v>23</v>
      </c>
      <c r="F169" s="4" t="s">
        <v>23</v>
      </c>
      <c r="G169" s="4" t="s">
        <v>23</v>
      </c>
      <c r="H169" s="4" t="s">
        <v>23</v>
      </c>
      <c r="I169" s="4" t="s">
        <v>23</v>
      </c>
      <c r="J169" s="4" t="s">
        <v>23</v>
      </c>
      <c r="K169" s="4" t="s">
        <v>23</v>
      </c>
      <c r="L169" s="4" t="s">
        <v>23</v>
      </c>
      <c r="M169" s="4" t="s">
        <v>23</v>
      </c>
      <c r="N169" s="4" t="s">
        <v>23</v>
      </c>
      <c r="O169" s="5">
        <v>-1209000</v>
      </c>
      <c r="P169" s="4">
        <v>-1819000</v>
      </c>
      <c r="Q169" s="4">
        <v>610000</v>
      </c>
      <c r="R169" s="4" t="s">
        <v>23</v>
      </c>
      <c r="S169" s="4" t="s">
        <v>23</v>
      </c>
    </row>
    <row r="170" spans="1:19" ht="16" x14ac:dyDescent="0.2">
      <c r="A170" s="3" t="s">
        <v>154</v>
      </c>
      <c r="B170" s="4" t="s">
        <v>23</v>
      </c>
      <c r="C170" s="4" t="s">
        <v>23</v>
      </c>
      <c r="D170" s="4" t="s">
        <v>23</v>
      </c>
      <c r="E170" s="4" t="s">
        <v>23</v>
      </c>
      <c r="F170" s="4" t="s">
        <v>23</v>
      </c>
      <c r="G170" s="4" t="s">
        <v>23</v>
      </c>
      <c r="H170" s="4" t="s">
        <v>23</v>
      </c>
      <c r="I170" s="4" t="s">
        <v>23</v>
      </c>
      <c r="J170" s="4" t="s">
        <v>23</v>
      </c>
      <c r="K170" s="4" t="s">
        <v>23</v>
      </c>
      <c r="L170" s="4" t="s">
        <v>23</v>
      </c>
      <c r="M170" s="4" t="s">
        <v>23</v>
      </c>
      <c r="N170" s="4" t="s">
        <v>23</v>
      </c>
      <c r="O170" s="5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</row>
    <row r="171" spans="1:19" ht="16" x14ac:dyDescent="0.2">
      <c r="A171" s="3" t="s">
        <v>171</v>
      </c>
      <c r="B171" s="4">
        <v>-97115000</v>
      </c>
      <c r="C171" s="4">
        <v>-128636000</v>
      </c>
      <c r="D171" s="4">
        <v>-188578000</v>
      </c>
      <c r="E171" s="4">
        <v>-226024000</v>
      </c>
      <c r="F171" s="4">
        <v>-399276000</v>
      </c>
      <c r="G171" s="4">
        <v>-278958000</v>
      </c>
      <c r="H171" s="4">
        <v>-273747000</v>
      </c>
      <c r="I171" s="4">
        <v>-530714000</v>
      </c>
      <c r="J171" s="4">
        <v>-215107000</v>
      </c>
      <c r="K171" s="4">
        <v>-471480000</v>
      </c>
      <c r="L171" s="4">
        <v>-48751000</v>
      </c>
      <c r="M171" s="4">
        <v>-176484000</v>
      </c>
      <c r="N171" s="4">
        <v>-314584000</v>
      </c>
      <c r="O171" s="5">
        <v>-399270000</v>
      </c>
      <c r="P171" s="4">
        <v>-85280000</v>
      </c>
      <c r="Q171" s="4">
        <v>-107555000</v>
      </c>
      <c r="R171" s="4">
        <v>-110080000</v>
      </c>
      <c r="S171" s="4">
        <v>-96355000</v>
      </c>
    </row>
    <row r="172" spans="1:19" ht="16" x14ac:dyDescent="0.2">
      <c r="A172" s="3" t="s">
        <v>172</v>
      </c>
      <c r="B172" s="4" t="s">
        <v>23</v>
      </c>
      <c r="C172" s="4" t="s">
        <v>23</v>
      </c>
      <c r="D172" s="4">
        <v>-62482000</v>
      </c>
      <c r="E172" s="4" t="s">
        <v>23</v>
      </c>
      <c r="F172" s="4" t="s">
        <v>23</v>
      </c>
      <c r="G172" s="4" t="s">
        <v>23</v>
      </c>
      <c r="H172" s="4" t="s">
        <v>23</v>
      </c>
      <c r="I172" s="4" t="s">
        <v>23</v>
      </c>
      <c r="J172" s="4" t="s">
        <v>23</v>
      </c>
      <c r="K172" s="4" t="s">
        <v>23</v>
      </c>
      <c r="L172" s="4" t="s">
        <v>23</v>
      </c>
      <c r="M172" s="4" t="s">
        <v>23</v>
      </c>
      <c r="N172" s="4" t="s">
        <v>23</v>
      </c>
      <c r="O172" s="5">
        <v>0</v>
      </c>
      <c r="P172" s="4" t="s">
        <v>23</v>
      </c>
      <c r="Q172" s="4" t="s">
        <v>23</v>
      </c>
      <c r="R172" s="4" t="s">
        <v>23</v>
      </c>
      <c r="S172" s="4" t="s">
        <v>23</v>
      </c>
    </row>
    <row r="173" spans="1:19" ht="16" x14ac:dyDescent="0.2">
      <c r="A173" s="3" t="s">
        <v>173</v>
      </c>
      <c r="B173" s="4" t="s">
        <v>23</v>
      </c>
      <c r="C173" s="4" t="s">
        <v>23</v>
      </c>
      <c r="D173" s="4" t="s">
        <v>23</v>
      </c>
      <c r="E173" s="4" t="s">
        <v>23</v>
      </c>
      <c r="F173" s="4" t="s">
        <v>23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23</v>
      </c>
      <c r="L173" s="4" t="s">
        <v>23</v>
      </c>
      <c r="M173" s="4" t="s">
        <v>23</v>
      </c>
      <c r="N173" s="4" t="s">
        <v>23</v>
      </c>
      <c r="O173" s="5" t="s">
        <v>23</v>
      </c>
      <c r="P173" s="4" t="s">
        <v>23</v>
      </c>
      <c r="Q173" s="4" t="s">
        <v>23</v>
      </c>
      <c r="R173" s="4" t="s">
        <v>23</v>
      </c>
      <c r="S173" s="4" t="s">
        <v>23</v>
      </c>
    </row>
    <row r="174" spans="1:19" ht="16" x14ac:dyDescent="0.2">
      <c r="A174" s="3" t="s">
        <v>174</v>
      </c>
      <c r="B174" s="4" t="s">
        <v>23</v>
      </c>
      <c r="C174" s="4" t="s">
        <v>23</v>
      </c>
      <c r="D174" s="4" t="s">
        <v>23</v>
      </c>
      <c r="E174" s="4" t="s">
        <v>23</v>
      </c>
      <c r="F174" s="4" t="s">
        <v>23</v>
      </c>
      <c r="G174" s="4" t="s">
        <v>23</v>
      </c>
      <c r="H174" s="4" t="s">
        <v>23</v>
      </c>
      <c r="I174" s="4" t="s">
        <v>23</v>
      </c>
      <c r="J174" s="4" t="s">
        <v>23</v>
      </c>
      <c r="K174" s="4" t="s">
        <v>23</v>
      </c>
      <c r="L174" s="4">
        <v>800000000</v>
      </c>
      <c r="M174" s="4" t="s">
        <v>23</v>
      </c>
      <c r="N174" s="4" t="s">
        <v>23</v>
      </c>
      <c r="O174" s="5" t="s">
        <v>23</v>
      </c>
      <c r="P174" s="4" t="s">
        <v>23</v>
      </c>
      <c r="Q174" s="4" t="s">
        <v>23</v>
      </c>
      <c r="R174" s="4" t="s">
        <v>23</v>
      </c>
      <c r="S174" s="4" t="s">
        <v>23</v>
      </c>
    </row>
    <row r="175" spans="1:19" ht="16" x14ac:dyDescent="0.2">
      <c r="A175" s="3" t="s">
        <v>175</v>
      </c>
      <c r="B175" s="4" t="s">
        <v>23</v>
      </c>
      <c r="C175" s="4" t="s">
        <v>23</v>
      </c>
      <c r="D175" s="4" t="s">
        <v>23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23</v>
      </c>
      <c r="L175" s="4">
        <v>-800000000</v>
      </c>
      <c r="M175" s="4" t="s">
        <v>23</v>
      </c>
      <c r="N175" s="4" t="s">
        <v>23</v>
      </c>
      <c r="O175" s="5" t="s">
        <v>23</v>
      </c>
      <c r="P175" s="4" t="s">
        <v>23</v>
      </c>
      <c r="Q175" s="4" t="s">
        <v>23</v>
      </c>
      <c r="R175" s="4" t="s">
        <v>23</v>
      </c>
      <c r="S175" s="4" t="s">
        <v>23</v>
      </c>
    </row>
    <row r="176" spans="1:19" ht="16" x14ac:dyDescent="0.2">
      <c r="A176" s="3" t="s">
        <v>176</v>
      </c>
      <c r="B176" s="4">
        <v>17100000</v>
      </c>
      <c r="C176" s="4">
        <v>-3236000</v>
      </c>
      <c r="D176" s="4">
        <v>-79000</v>
      </c>
      <c r="E176" s="4">
        <v>-37968000</v>
      </c>
      <c r="F176" s="4">
        <v>-41511000</v>
      </c>
      <c r="G176" s="4">
        <v>-169368000</v>
      </c>
      <c r="H176" s="4">
        <v>-347114000</v>
      </c>
      <c r="I176" s="4">
        <v>-371824000</v>
      </c>
      <c r="J176" s="4">
        <v>-622335000</v>
      </c>
      <c r="K176" s="4">
        <v>-690519000</v>
      </c>
      <c r="L176" s="4">
        <v>-118248000</v>
      </c>
      <c r="M176" s="4">
        <v>-1537602000</v>
      </c>
      <c r="N176" s="4">
        <v>-907025000</v>
      </c>
      <c r="O176" s="5">
        <v>-1047022000</v>
      </c>
      <c r="P176" s="4">
        <v>-137875000</v>
      </c>
      <c r="Q176" s="4">
        <v>-328377000</v>
      </c>
      <c r="R176" s="4">
        <v>-305176000</v>
      </c>
      <c r="S176" s="4">
        <v>-275594000</v>
      </c>
    </row>
    <row r="177" spans="1:19" ht="16" x14ac:dyDescent="0.2">
      <c r="A177" s="3" t="s">
        <v>177</v>
      </c>
      <c r="B177" s="4">
        <v>17100000</v>
      </c>
      <c r="C177" s="4" t="s">
        <v>23</v>
      </c>
      <c r="D177" s="4" t="s">
        <v>23</v>
      </c>
      <c r="E177" s="4" t="s">
        <v>23</v>
      </c>
      <c r="F177" s="4" t="s">
        <v>23</v>
      </c>
      <c r="G177" s="4" t="s">
        <v>23</v>
      </c>
      <c r="H177" s="4" t="s">
        <v>23</v>
      </c>
      <c r="I177" s="4" t="s">
        <v>23</v>
      </c>
      <c r="J177" s="4" t="s">
        <v>23</v>
      </c>
      <c r="K177" s="4" t="s">
        <v>23</v>
      </c>
      <c r="L177" s="4" t="s">
        <v>23</v>
      </c>
      <c r="M177" s="4" t="s">
        <v>23</v>
      </c>
      <c r="N177" s="4" t="s">
        <v>23</v>
      </c>
      <c r="O177" s="5" t="s">
        <v>23</v>
      </c>
      <c r="P177" s="4" t="s">
        <v>23</v>
      </c>
      <c r="Q177" s="4" t="s">
        <v>23</v>
      </c>
      <c r="R177" s="4" t="s">
        <v>23</v>
      </c>
      <c r="S177" s="4" t="s">
        <v>23</v>
      </c>
    </row>
    <row r="178" spans="1:19" ht="16" x14ac:dyDescent="0.2">
      <c r="A178" s="3" t="s">
        <v>178</v>
      </c>
      <c r="B178" s="4" t="s">
        <v>23</v>
      </c>
      <c r="C178" s="4">
        <v>-3236000</v>
      </c>
      <c r="D178" s="4">
        <v>-79000</v>
      </c>
      <c r="E178" s="4">
        <v>-37968000</v>
      </c>
      <c r="F178" s="4">
        <v>-41511000</v>
      </c>
      <c r="G178" s="4">
        <v>-169368000</v>
      </c>
      <c r="H178" s="4">
        <v>-347114000</v>
      </c>
      <c r="I178" s="4">
        <v>-371824000</v>
      </c>
      <c r="J178" s="4">
        <v>-622335000</v>
      </c>
      <c r="K178" s="4">
        <v>-690519000</v>
      </c>
      <c r="L178" s="4">
        <v>-118248000</v>
      </c>
      <c r="M178" s="4">
        <v>-1537602000</v>
      </c>
      <c r="N178" s="4">
        <v>-907025000</v>
      </c>
      <c r="O178" s="5">
        <v>-1047022000</v>
      </c>
      <c r="P178" s="4">
        <v>-137875000</v>
      </c>
      <c r="Q178" s="4">
        <v>-328377000</v>
      </c>
      <c r="R178" s="4">
        <v>-305176000</v>
      </c>
      <c r="S178" s="4">
        <v>-275594000</v>
      </c>
    </row>
    <row r="179" spans="1:19" ht="16" x14ac:dyDescent="0.2">
      <c r="A179" s="3" t="s">
        <v>179</v>
      </c>
      <c r="B179" s="4">
        <v>10640000</v>
      </c>
      <c r="C179" s="4">
        <v>53538000</v>
      </c>
      <c r="D179" s="4">
        <v>78875000</v>
      </c>
      <c r="E179" s="4">
        <v>35268000</v>
      </c>
      <c r="F179" s="4">
        <v>13868000</v>
      </c>
      <c r="G179" s="4">
        <v>29143000</v>
      </c>
      <c r="H179" s="4">
        <v>25346000</v>
      </c>
      <c r="I179" s="4">
        <v>16773000</v>
      </c>
      <c r="J179" s="4">
        <v>13121000</v>
      </c>
      <c r="K179" s="4">
        <v>43780000</v>
      </c>
      <c r="L179" s="4">
        <v>10314000</v>
      </c>
      <c r="M179" s="4">
        <v>40386000</v>
      </c>
      <c r="N179" s="4">
        <v>46011000</v>
      </c>
      <c r="O179" s="5">
        <v>30637000</v>
      </c>
      <c r="P179" s="4">
        <v>6798000</v>
      </c>
      <c r="Q179" s="4">
        <v>14692000</v>
      </c>
      <c r="R179" s="4">
        <v>8927000</v>
      </c>
      <c r="S179" s="4">
        <v>220000</v>
      </c>
    </row>
    <row r="180" spans="1:19" ht="16" x14ac:dyDescent="0.2">
      <c r="A180" s="3" t="s">
        <v>154</v>
      </c>
      <c r="B180" s="4" t="s">
        <v>23</v>
      </c>
      <c r="C180" s="4" t="s">
        <v>23</v>
      </c>
      <c r="D180" s="4" t="s">
        <v>23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4" t="s">
        <v>23</v>
      </c>
      <c r="N180" s="4" t="s">
        <v>23</v>
      </c>
      <c r="O180" s="5" t="s">
        <v>23</v>
      </c>
      <c r="P180" s="4" t="s">
        <v>23</v>
      </c>
      <c r="Q180" s="4" t="s">
        <v>23</v>
      </c>
      <c r="R180" s="4" t="s">
        <v>23</v>
      </c>
      <c r="S180" s="4" t="s">
        <v>23</v>
      </c>
    </row>
    <row r="181" spans="1:19" ht="16" x14ac:dyDescent="0.2">
      <c r="A181" s="3" t="s">
        <v>180</v>
      </c>
      <c r="B181" s="4">
        <v>27740000</v>
      </c>
      <c r="C181" s="4">
        <v>50302000</v>
      </c>
      <c r="D181" s="4">
        <v>16314000</v>
      </c>
      <c r="E181" s="4">
        <v>-2700000</v>
      </c>
      <c r="F181" s="4">
        <v>-27643000</v>
      </c>
      <c r="G181" s="4">
        <v>-140225000</v>
      </c>
      <c r="H181" s="4">
        <v>-321768000</v>
      </c>
      <c r="I181" s="4">
        <v>-355051000</v>
      </c>
      <c r="J181" s="4">
        <v>-609214000</v>
      </c>
      <c r="K181" s="4">
        <v>-646739000</v>
      </c>
      <c r="L181" s="4">
        <v>-107934000</v>
      </c>
      <c r="M181" s="4">
        <v>-1497216000</v>
      </c>
      <c r="N181" s="4">
        <v>-861014000</v>
      </c>
      <c r="O181" s="5">
        <v>-1016385000</v>
      </c>
      <c r="P181" s="4">
        <v>-131077000</v>
      </c>
      <c r="Q181" s="4">
        <v>-313685000</v>
      </c>
      <c r="R181" s="4">
        <v>-296249000</v>
      </c>
      <c r="S181" s="4">
        <v>-275374000</v>
      </c>
    </row>
    <row r="182" spans="1:19" ht="16" x14ac:dyDescent="0.2">
      <c r="A182" s="3" t="s">
        <v>181</v>
      </c>
      <c r="B182" s="4" t="s">
        <v>23</v>
      </c>
      <c r="C182" s="4" t="s">
        <v>23</v>
      </c>
      <c r="D182" s="4" t="s">
        <v>23</v>
      </c>
      <c r="E182" s="4" t="s">
        <v>23</v>
      </c>
      <c r="F182" s="4" t="s">
        <v>23</v>
      </c>
      <c r="G182" s="4" t="s">
        <v>23</v>
      </c>
      <c r="H182" s="4" t="s">
        <v>23</v>
      </c>
      <c r="I182" s="4" t="s">
        <v>23</v>
      </c>
      <c r="J182" s="4" t="s">
        <v>23</v>
      </c>
      <c r="K182" s="4" t="s">
        <v>23</v>
      </c>
      <c r="L182" s="4">
        <v>56000</v>
      </c>
      <c r="M182" s="4">
        <v>-56000</v>
      </c>
      <c r="N182" s="4" t="s">
        <v>23</v>
      </c>
      <c r="O182" s="5" t="s">
        <v>23</v>
      </c>
      <c r="P182" s="4" t="s">
        <v>23</v>
      </c>
      <c r="Q182" s="4" t="s">
        <v>23</v>
      </c>
      <c r="R182" s="4" t="s">
        <v>23</v>
      </c>
      <c r="S182" s="4" t="s">
        <v>23</v>
      </c>
    </row>
    <row r="183" spans="1:19" ht="16" x14ac:dyDescent="0.2">
      <c r="A183" s="3" t="s">
        <v>182</v>
      </c>
      <c r="B183" s="4">
        <v>107168000</v>
      </c>
      <c r="C183" s="4">
        <v>142553000</v>
      </c>
      <c r="D183" s="4">
        <v>66737000</v>
      </c>
      <c r="E183" s="4">
        <v>99001000</v>
      </c>
      <c r="F183" s="4">
        <v>-30327000</v>
      </c>
      <c r="G183" s="4">
        <v>-43309000</v>
      </c>
      <c r="H183" s="4">
        <v>39170000</v>
      </c>
      <c r="I183" s="4">
        <v>-107565000</v>
      </c>
      <c r="J183" s="4">
        <v>131806000</v>
      </c>
      <c r="K183" s="4">
        <v>-16926000</v>
      </c>
      <c r="L183" s="4">
        <v>653670000</v>
      </c>
      <c r="M183" s="4">
        <v>-614435000</v>
      </c>
      <c r="N183" s="4">
        <v>306317000</v>
      </c>
      <c r="O183" s="5">
        <v>-45599000</v>
      </c>
      <c r="P183" s="4">
        <v>-183598000</v>
      </c>
      <c r="Q183" s="4">
        <v>487249000</v>
      </c>
      <c r="R183" s="4">
        <v>-101428000</v>
      </c>
      <c r="S183" s="4">
        <v>-247822000</v>
      </c>
    </row>
    <row r="184" spans="1:19" ht="16" x14ac:dyDescent="0.2">
      <c r="A184" s="3" t="s">
        <v>53</v>
      </c>
      <c r="B184" s="4">
        <v>183820000</v>
      </c>
      <c r="C184" s="4">
        <v>272126000</v>
      </c>
      <c r="D184" s="4">
        <v>368211000</v>
      </c>
      <c r="E184" s="4">
        <v>433871000</v>
      </c>
      <c r="F184" s="4">
        <v>542179000</v>
      </c>
      <c r="G184" s="4">
        <v>671346000</v>
      </c>
      <c r="H184" s="4">
        <v>865119000</v>
      </c>
      <c r="I184" s="4">
        <v>1038004000</v>
      </c>
      <c r="J184" s="4">
        <v>1133552000</v>
      </c>
      <c r="K184" s="4">
        <v>1196693000</v>
      </c>
      <c r="L184" s="4">
        <v>648914000</v>
      </c>
      <c r="M184" s="4">
        <v>1565952000</v>
      </c>
      <c r="N184" s="4">
        <v>1879982000</v>
      </c>
      <c r="O184" s="5">
        <v>1880699000</v>
      </c>
      <c r="P184" s="4">
        <v>420317000</v>
      </c>
      <c r="Q184" s="4">
        <v>506808000</v>
      </c>
      <c r="R184" s="4">
        <v>500019000</v>
      </c>
      <c r="S184" s="4">
        <v>453555000</v>
      </c>
    </row>
    <row r="185" spans="1:19" ht="16" x14ac:dyDescent="0.2">
      <c r="A185" s="3" t="s">
        <v>54</v>
      </c>
      <c r="B185" s="6">
        <v>12.64</v>
      </c>
      <c r="C185" s="6">
        <v>15.32</v>
      </c>
      <c r="D185" s="6">
        <v>16.579999999999998</v>
      </c>
      <c r="E185" s="6">
        <v>16.25</v>
      </c>
      <c r="F185" s="6">
        <v>16.73</v>
      </c>
      <c r="G185" s="6">
        <v>17.11</v>
      </c>
      <c r="H185" s="6">
        <v>17.82</v>
      </c>
      <c r="I185" s="6">
        <v>17.64</v>
      </c>
      <c r="J185" s="6">
        <v>16.88</v>
      </c>
      <c r="K185" s="6">
        <v>16.18</v>
      </c>
      <c r="L185" s="6">
        <v>10.55</v>
      </c>
      <c r="M185" s="6">
        <v>18.14</v>
      </c>
      <c r="N185" s="6">
        <v>18.420000000000002</v>
      </c>
      <c r="O185" s="7">
        <v>17.53</v>
      </c>
      <c r="P185" s="6">
        <v>18.66</v>
      </c>
      <c r="Q185" s="6">
        <v>18.420000000000002</v>
      </c>
      <c r="R185" s="6">
        <v>17.899999999999999</v>
      </c>
      <c r="S185" s="6">
        <v>17.53</v>
      </c>
    </row>
    <row r="186" spans="1:19" ht="16" x14ac:dyDescent="0.2">
      <c r="A186" s="3" t="s">
        <v>183</v>
      </c>
      <c r="B186" s="4" t="s">
        <v>23</v>
      </c>
      <c r="C186" s="4" t="s">
        <v>23</v>
      </c>
      <c r="D186" s="4" t="s">
        <v>23</v>
      </c>
      <c r="E186" s="4" t="s">
        <v>23</v>
      </c>
      <c r="F186" s="4" t="s">
        <v>23</v>
      </c>
      <c r="G186" s="4" t="s">
        <v>23</v>
      </c>
      <c r="H186" s="4" t="s">
        <v>23</v>
      </c>
      <c r="I186" s="4" t="s">
        <v>23</v>
      </c>
      <c r="J186" s="4">
        <v>15707000</v>
      </c>
      <c r="K186" s="4">
        <v>62946000</v>
      </c>
      <c r="L186" s="4">
        <v>1220000</v>
      </c>
      <c r="M186" s="4" t="s">
        <v>23</v>
      </c>
      <c r="N186" s="4" t="s">
        <v>23</v>
      </c>
      <c r="O186" s="5" t="s">
        <v>23</v>
      </c>
      <c r="P186" s="4" t="s">
        <v>23</v>
      </c>
      <c r="Q186" s="4" t="s">
        <v>23</v>
      </c>
      <c r="R186" s="4" t="s">
        <v>23</v>
      </c>
      <c r="S186" s="4" t="s">
        <v>23</v>
      </c>
    </row>
    <row r="187" spans="1:19" ht="16" x14ac:dyDescent="0.2">
      <c r="A187" s="3" t="s">
        <v>184</v>
      </c>
      <c r="B187" s="4">
        <v>79428000</v>
      </c>
      <c r="C187" s="4">
        <v>92251000</v>
      </c>
      <c r="D187" s="4">
        <v>50423000</v>
      </c>
      <c r="E187" s="4">
        <v>101701000</v>
      </c>
      <c r="F187" s="4">
        <v>147525000</v>
      </c>
      <c r="G187" s="4">
        <v>76707000</v>
      </c>
      <c r="H187" s="4">
        <v>260938000</v>
      </c>
      <c r="I187" s="4">
        <v>337486000</v>
      </c>
      <c r="J187" s="4">
        <v>636727000</v>
      </c>
      <c r="K187" s="4">
        <v>802759000</v>
      </c>
      <c r="L187" s="4">
        <v>658489000</v>
      </c>
      <c r="M187" s="4">
        <v>887078000</v>
      </c>
      <c r="N187" s="4">
        <v>1169789000</v>
      </c>
      <c r="O187" s="5">
        <v>973682000</v>
      </c>
      <c r="P187" s="4">
        <v>-50702000</v>
      </c>
      <c r="Q187" s="4">
        <v>800324000</v>
      </c>
      <c r="R187" s="4">
        <v>195135000</v>
      </c>
      <c r="S187" s="4">
        <v>28925000</v>
      </c>
    </row>
    <row r="188" spans="1:19" ht="16" x14ac:dyDescent="0.2">
      <c r="A188" s="31" t="s">
        <v>185</v>
      </c>
      <c r="B188" s="27">
        <v>79881975</v>
      </c>
      <c r="C188" s="27">
        <v>92611900</v>
      </c>
      <c r="D188" s="27">
        <v>50537090</v>
      </c>
      <c r="E188" s="27">
        <v>101701000</v>
      </c>
      <c r="F188" s="27">
        <v>147525000</v>
      </c>
      <c r="G188" s="27">
        <v>76707000</v>
      </c>
      <c r="H188" s="27">
        <v>260938000</v>
      </c>
      <c r="I188" s="27">
        <v>337486000</v>
      </c>
      <c r="J188" s="27">
        <v>636727000</v>
      </c>
      <c r="K188" s="27">
        <v>802759000</v>
      </c>
      <c r="L188" s="27">
        <v>654125178</v>
      </c>
      <c r="M188" s="27">
        <v>885812828</v>
      </c>
      <c r="N188" s="27">
        <v>1169789000</v>
      </c>
      <c r="O188" s="28">
        <v>973682000</v>
      </c>
      <c r="P188" s="27">
        <v>-50702000</v>
      </c>
      <c r="Q188" s="27">
        <v>800324000</v>
      </c>
      <c r="R188" s="27">
        <v>195135000</v>
      </c>
      <c r="S188" s="27">
        <v>28925000</v>
      </c>
    </row>
    <row r="189" spans="1:19" ht="16" x14ac:dyDescent="0.2">
      <c r="A189" s="21" t="s">
        <v>199</v>
      </c>
      <c r="B189" s="22"/>
      <c r="C189" s="23">
        <f>(C188/B188)-1</f>
        <v>0.15935916707116959</v>
      </c>
      <c r="D189" s="23">
        <f>(D188/C188)-1</f>
        <v>-0.45431321460848983</v>
      </c>
      <c r="E189" s="23">
        <f>(E188/D188)-1</f>
        <v>1.0124031676536975</v>
      </c>
      <c r="F189" s="23">
        <f t="shared" ref="F189:O189" si="11">(F188/E188)-1</f>
        <v>0.45057570722018458</v>
      </c>
      <c r="G189" s="23">
        <f t="shared" si="11"/>
        <v>-0.48004067107269954</v>
      </c>
      <c r="H189" s="23">
        <f t="shared" si="11"/>
        <v>2.40174951438591</v>
      </c>
      <c r="I189" s="23">
        <f t="shared" si="11"/>
        <v>0.29335704266913987</v>
      </c>
      <c r="J189" s="23">
        <f t="shared" si="11"/>
        <v>0.88667678066645728</v>
      </c>
      <c r="K189" s="23">
        <f t="shared" si="11"/>
        <v>0.26075853544768801</v>
      </c>
      <c r="L189" s="23">
        <f t="shared" si="11"/>
        <v>-0.18515372857856471</v>
      </c>
      <c r="M189" s="23">
        <f t="shared" si="11"/>
        <v>0.35419466761452201</v>
      </c>
      <c r="N189" s="23">
        <f t="shared" si="11"/>
        <v>0.32058259151785506</v>
      </c>
      <c r="O189" s="23">
        <f t="shared" si="11"/>
        <v>-0.16764305357632869</v>
      </c>
      <c r="P189" s="23"/>
      <c r="Q189" s="23">
        <f t="shared" ref="Q189:S189" si="12">(Q188/P188)-1</f>
        <v>-16.784860557768923</v>
      </c>
      <c r="R189" s="23">
        <f t="shared" si="12"/>
        <v>-0.75617999710117401</v>
      </c>
      <c r="S189" s="23">
        <f t="shared" si="12"/>
        <v>-0.85176928792886974</v>
      </c>
    </row>
    <row r="190" spans="1:19" ht="16" x14ac:dyDescent="0.2">
      <c r="A190" s="24" t="s">
        <v>200</v>
      </c>
      <c r="B190" s="25">
        <f t="shared" ref="B190:S190" si="13">B188/B2</f>
        <v>5.4907814478313048E-2</v>
      </c>
      <c r="C190" s="25">
        <f t="shared" si="13"/>
        <v>5.2141906853640257E-2</v>
      </c>
      <c r="D190" s="25">
        <f t="shared" si="13"/>
        <v>2.2761830167332055E-2</v>
      </c>
      <c r="E190" s="25">
        <f t="shared" si="13"/>
        <v>3.808208949914494E-2</v>
      </c>
      <c r="F190" s="25">
        <f t="shared" si="13"/>
        <v>4.5513176685530093E-2</v>
      </c>
      <c r="G190" s="25">
        <f t="shared" si="13"/>
        <v>1.9547587278255792E-2</v>
      </c>
      <c r="H190" s="25">
        <f t="shared" si="13"/>
        <v>5.3749152631749154E-2</v>
      </c>
      <c r="I190" s="25">
        <f t="shared" si="13"/>
        <v>5.7351628157061955E-2</v>
      </c>
      <c r="J190" s="25">
        <f t="shared" si="13"/>
        <v>9.4798793737619319E-2</v>
      </c>
      <c r="K190" s="25">
        <f t="shared" si="13"/>
        <v>0.10850927566494388</v>
      </c>
      <c r="L190" s="25">
        <f t="shared" si="13"/>
        <v>0.10632805192107286</v>
      </c>
      <c r="M190" s="25">
        <f t="shared" si="13"/>
        <v>0.10263286064737943</v>
      </c>
      <c r="N190" s="25">
        <f t="shared" si="13"/>
        <v>0.11458880667046739</v>
      </c>
      <c r="O190" s="25">
        <f t="shared" si="13"/>
        <v>9.0746957166681672E-2</v>
      </c>
      <c r="P190" s="25">
        <f t="shared" si="13"/>
        <v>-2.1678703502191088E-2</v>
      </c>
      <c r="Q190" s="25">
        <f t="shared" si="13"/>
        <v>0.2480261239324861</v>
      </c>
      <c r="R190" s="25">
        <f t="shared" si="13"/>
        <v>7.4075747182418758E-2</v>
      </c>
      <c r="S190" s="25">
        <f t="shared" si="13"/>
        <v>1.1433669498369244E-2</v>
      </c>
    </row>
    <row r="191" spans="1:19" ht="16" x14ac:dyDescent="0.2">
      <c r="A191" s="3" t="s">
        <v>186</v>
      </c>
      <c r="B191" s="4">
        <v>79428000</v>
      </c>
      <c r="C191" s="4">
        <v>92251000</v>
      </c>
      <c r="D191" s="4">
        <v>50423000</v>
      </c>
      <c r="E191" s="4">
        <v>101701000</v>
      </c>
      <c r="F191" s="4">
        <v>147525000</v>
      </c>
      <c r="G191" s="4">
        <v>76707000</v>
      </c>
      <c r="H191" s="4">
        <v>260938000</v>
      </c>
      <c r="I191" s="4">
        <v>337486000</v>
      </c>
      <c r="J191" s="4">
        <v>636727000</v>
      </c>
      <c r="K191" s="4">
        <v>802759000</v>
      </c>
      <c r="L191" s="4">
        <v>658489000</v>
      </c>
      <c r="M191" s="4">
        <v>887078000</v>
      </c>
      <c r="N191" s="4">
        <v>1169789000</v>
      </c>
      <c r="O191" s="5">
        <v>973682000</v>
      </c>
      <c r="P191" s="4">
        <v>-50702000</v>
      </c>
      <c r="Q191" s="4">
        <v>800324000</v>
      </c>
      <c r="R191" s="4">
        <v>195135000</v>
      </c>
      <c r="S191" s="4">
        <v>28925000</v>
      </c>
    </row>
    <row r="192" spans="1:19" ht="16" x14ac:dyDescent="0.2">
      <c r="A192" s="3" t="s">
        <v>187</v>
      </c>
      <c r="B192" s="6">
        <v>1.35</v>
      </c>
      <c r="C192" s="6">
        <v>1.51</v>
      </c>
      <c r="D192" s="6">
        <v>0.8</v>
      </c>
      <c r="E192" s="6">
        <v>1.59</v>
      </c>
      <c r="F192" s="6">
        <v>2.29</v>
      </c>
      <c r="G192" s="6">
        <v>1.2</v>
      </c>
      <c r="H192" s="6">
        <v>4.17</v>
      </c>
      <c r="I192" s="6">
        <v>5.48</v>
      </c>
      <c r="J192" s="6">
        <v>10.64</v>
      </c>
      <c r="K192" s="6">
        <v>13.88</v>
      </c>
      <c r="L192" s="6">
        <v>11.69</v>
      </c>
      <c r="M192" s="6">
        <v>16.28</v>
      </c>
      <c r="N192" s="6">
        <v>22.76</v>
      </c>
      <c r="O192" s="7">
        <v>19.329999999999998</v>
      </c>
      <c r="P192" s="6">
        <v>-0.99</v>
      </c>
      <c r="Q192" s="6">
        <v>15.81</v>
      </c>
      <c r="R192" s="6">
        <v>3.89</v>
      </c>
      <c r="S192" s="6">
        <v>0.57999999999999996</v>
      </c>
    </row>
    <row r="193" spans="1:19" ht="16" x14ac:dyDescent="0.2">
      <c r="A193" s="3" t="s">
        <v>188</v>
      </c>
      <c r="B193" s="6">
        <v>8.3000000000000007</v>
      </c>
      <c r="C193" s="6">
        <v>13.8</v>
      </c>
      <c r="D193" s="6">
        <v>14.73</v>
      </c>
      <c r="E193" s="6">
        <v>9.98</v>
      </c>
      <c r="F193" s="6">
        <v>13.21</v>
      </c>
      <c r="G193" s="6">
        <v>17.25</v>
      </c>
      <c r="H193" s="6">
        <v>16.97</v>
      </c>
      <c r="I193" s="6">
        <v>11.29</v>
      </c>
      <c r="J193" s="6">
        <v>13.77</v>
      </c>
      <c r="K193" s="6">
        <v>11.12</v>
      </c>
      <c r="L193" s="6">
        <v>16.440000000000001</v>
      </c>
      <c r="M193" s="6">
        <v>16.2</v>
      </c>
      <c r="N193" s="6">
        <v>14.82</v>
      </c>
      <c r="O193" s="7">
        <v>12.77</v>
      </c>
      <c r="P193" s="4" t="s">
        <v>23</v>
      </c>
      <c r="Q193" s="6">
        <v>15.43</v>
      </c>
      <c r="R193" s="6">
        <v>16.989999999999998</v>
      </c>
      <c r="S193" s="6">
        <v>13.4</v>
      </c>
    </row>
    <row r="194" spans="1:19" ht="16" x14ac:dyDescent="0.2">
      <c r="A194" s="3" t="s">
        <v>189</v>
      </c>
      <c r="B194" s="6">
        <v>2.4900000000000002</v>
      </c>
      <c r="C194" s="6">
        <v>1.84</v>
      </c>
      <c r="D194" s="6">
        <v>1.39</v>
      </c>
      <c r="E194" s="6">
        <v>1.62</v>
      </c>
      <c r="F194" s="6">
        <v>1.54</v>
      </c>
      <c r="G194" s="6">
        <v>1.17</v>
      </c>
      <c r="H194" s="6">
        <v>1.55</v>
      </c>
      <c r="I194" s="6">
        <v>1.4</v>
      </c>
      <c r="J194" s="6">
        <v>1.45</v>
      </c>
      <c r="K194" s="6">
        <v>1.56</v>
      </c>
      <c r="L194" s="6">
        <v>4.6100000000000003</v>
      </c>
      <c r="M194" s="6">
        <v>1.07</v>
      </c>
      <c r="N194" s="6">
        <v>1.19</v>
      </c>
      <c r="O194" s="7">
        <v>1.0900000000000001</v>
      </c>
      <c r="P194" s="6">
        <v>0.12</v>
      </c>
      <c r="Q194" s="6">
        <v>2.67</v>
      </c>
      <c r="R194" s="6">
        <v>0.88</v>
      </c>
      <c r="S194" s="6">
        <v>0.41</v>
      </c>
    </row>
    <row r="196" spans="1:19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Q1 S1 A55:S95 A54:O54 A191:S195 A138:O138 A4:S7 A15:S16 A19:S19 A37:S53 A2:S2 A9:S11 A13 A97:S104 A96 K96:S96 A130:S137 A105 K105:S105 A106:S128 A139:S142 A144:S171 A173:S188 A172:N172 P172:S172 A22:S33 A20:N20 P20:S20 A21:N21 P21:S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E63A-2DF4-8349-8A4B-08C2535B81DE}">
  <dimension ref="A1:R110"/>
  <sheetViews>
    <sheetView tabSelected="1" workbookViewId="0">
      <selection activeCell="G19" sqref="G19"/>
    </sheetView>
  </sheetViews>
  <sheetFormatPr baseColWidth="10" defaultRowHeight="15" x14ac:dyDescent="0.2"/>
  <cols>
    <col min="1" max="18" width="18.83203125" customWidth="1"/>
  </cols>
  <sheetData>
    <row r="1" spans="1:18" s="112" customFormat="1" ht="22" customHeight="1" x14ac:dyDescent="0.2">
      <c r="A1" s="111" t="e" vm="1">
        <v>#VALUE!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s="112" customFormat="1" ht="22" customHeight="1" thickBot="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18" ht="22" customHeight="1" x14ac:dyDescent="0.2">
      <c r="A3" s="32" cm="1">
        <f t="array" ref="A3">_FV(A1,"Market cap",TRUE)</f>
        <v>23414422483</v>
      </c>
      <c r="B3" s="33" t="s">
        <v>201</v>
      </c>
      <c r="C3" s="34">
        <f>Financials!O8*0.01</f>
        <v>0.39369999999999999</v>
      </c>
      <c r="D3" s="33" t="s">
        <v>202</v>
      </c>
      <c r="E3" s="34">
        <f>SUM(C11:E11)/3</f>
        <v>0.13910301793046742</v>
      </c>
      <c r="F3" s="35" t="s">
        <v>203</v>
      </c>
      <c r="G3" s="36">
        <f>AVERAGE(Financials!K129:O129)</f>
        <v>-3.3520234523930936E-2</v>
      </c>
      <c r="H3" s="35" t="s">
        <v>204</v>
      </c>
      <c r="I3" s="37">
        <f>J15*(1+I7)/(I6-I7)</f>
        <v>20865464180.194313</v>
      </c>
      <c r="J3" s="38" t="s">
        <v>205</v>
      </c>
      <c r="K3" s="39">
        <f>Financials!O172*-1/Model!A3</f>
        <v>0</v>
      </c>
      <c r="L3" s="40" t="s">
        <v>206</v>
      </c>
      <c r="M3" s="41"/>
      <c r="N3" s="113" t="s">
        <v>207</v>
      </c>
      <c r="O3" s="114"/>
      <c r="P3" s="41"/>
      <c r="Q3" s="41"/>
      <c r="R3" s="41"/>
    </row>
    <row r="4" spans="1:18" ht="22" customHeight="1" x14ac:dyDescent="0.2">
      <c r="A4" s="42">
        <f>Financials!O56-Financials!O96-Financials!O105</f>
        <v>-1491772000</v>
      </c>
      <c r="B4" s="43" t="s">
        <v>208</v>
      </c>
      <c r="C4" s="44">
        <f>Financials!O17*0.01</f>
        <v>0.15310000000000001</v>
      </c>
      <c r="D4" s="43" t="s">
        <v>209</v>
      </c>
      <c r="E4" s="44">
        <f>SUM(C13:E13)/3</f>
        <v>1.3719790929667479</v>
      </c>
      <c r="F4" s="45" t="s">
        <v>210</v>
      </c>
      <c r="G4" s="46">
        <f>A5*(1+(5*G3))</f>
        <v>40422552.303807184</v>
      </c>
      <c r="H4" s="45" t="s">
        <v>211</v>
      </c>
      <c r="I4" s="47">
        <f>NPV(I6,F15,G15,H15,I15,(J15+I3))</f>
        <v>17954220501.920502</v>
      </c>
      <c r="J4" s="45" t="s">
        <v>212</v>
      </c>
      <c r="K4" s="48" cm="1">
        <f t="array" ref="K4">_FV(A1,"Change (%)",TRUE)</f>
        <v>-1.5699000000000001E-2</v>
      </c>
      <c r="L4" s="49" t="s">
        <v>213</v>
      </c>
      <c r="M4" s="41"/>
      <c r="N4" s="115" t="s">
        <v>214</v>
      </c>
      <c r="O4" s="116"/>
      <c r="P4" s="41"/>
      <c r="Q4" s="41"/>
      <c r="R4" s="41"/>
    </row>
    <row r="5" spans="1:18" ht="22" customHeight="1" x14ac:dyDescent="0.2">
      <c r="A5" s="42" cm="1">
        <f t="array" ref="A5">_FV(A1,"Shares outstanding",TRUE)</f>
        <v>48561520</v>
      </c>
      <c r="B5" s="43" t="s">
        <v>215</v>
      </c>
      <c r="C5" s="44">
        <f>F14</f>
        <v>0.11318385650224215</v>
      </c>
      <c r="D5" s="50" t="s">
        <v>216</v>
      </c>
      <c r="E5" s="44">
        <f>SUM(C16:E16)/3</f>
        <v>0.16320784351793746</v>
      </c>
      <c r="F5" s="45" t="s">
        <v>217</v>
      </c>
      <c r="G5" s="46">
        <f>Financials!O56</f>
        <v>388627000</v>
      </c>
      <c r="H5" s="45" t="s">
        <v>218</v>
      </c>
      <c r="I5" s="47">
        <f>I4+G5-G6</f>
        <v>16462448501.920502</v>
      </c>
      <c r="J5" s="45" t="s">
        <v>219</v>
      </c>
      <c r="K5" s="51" cm="1">
        <f t="array" ref="K5">_FV(A1,"Price")</f>
        <v>482.16</v>
      </c>
      <c r="L5" s="52" t="s">
        <v>220</v>
      </c>
      <c r="M5" s="41"/>
      <c r="N5" s="53" t="s">
        <v>221</v>
      </c>
      <c r="O5" s="54">
        <f>Financials!O20</f>
        <v>0</v>
      </c>
      <c r="P5" s="41"/>
      <c r="Q5" s="41"/>
      <c r="R5" s="41"/>
    </row>
    <row r="6" spans="1:18" ht="22" customHeight="1" x14ac:dyDescent="0.2">
      <c r="A6" s="55">
        <f>O20/F10</f>
        <v>2.0999482047533631</v>
      </c>
      <c r="B6" s="43" t="s">
        <v>222</v>
      </c>
      <c r="C6" s="44">
        <f>F17</f>
        <v>8.8161434977578473E-2</v>
      </c>
      <c r="D6" s="50" t="s">
        <v>200</v>
      </c>
      <c r="E6" s="44">
        <f>Financials!O33/Financials!O126</f>
        <v>0.61528493179659405</v>
      </c>
      <c r="F6" s="43" t="s">
        <v>223</v>
      </c>
      <c r="G6" s="46">
        <f>Financials!O96+Financials!O105</f>
        <v>1880399000</v>
      </c>
      <c r="H6" s="45" t="s">
        <v>224</v>
      </c>
      <c r="I6" s="48">
        <f>N25</f>
        <v>9.0826477098158151E-2</v>
      </c>
      <c r="J6" s="45" t="s">
        <v>225</v>
      </c>
      <c r="K6" s="56">
        <f>I5/G4</f>
        <v>407.25900675920434</v>
      </c>
      <c r="L6" s="57" t="s">
        <v>226</v>
      </c>
      <c r="M6" s="41"/>
      <c r="N6" s="53" t="s">
        <v>227</v>
      </c>
      <c r="O6" s="54">
        <f>Financials!O96</f>
        <v>287359000</v>
      </c>
      <c r="P6" s="41"/>
      <c r="Q6" s="41"/>
      <c r="R6" s="41"/>
    </row>
    <row r="7" spans="1:18" ht="22" customHeight="1" thickBot="1" x14ac:dyDescent="0.25">
      <c r="A7" s="58">
        <f>O20/F12</f>
        <v>18.553425105388271</v>
      </c>
      <c r="B7" s="59" t="s">
        <v>228</v>
      </c>
      <c r="C7" s="60">
        <f>F15/A3</f>
        <v>4.1982671181136556E-2</v>
      </c>
      <c r="D7" s="59" t="s">
        <v>229</v>
      </c>
      <c r="E7" s="61">
        <f>(Financials!O16*(1-0.25))/(Financials!O126+Financials!O105+Financials!O96)</f>
        <v>0.313403611547104</v>
      </c>
      <c r="F7" s="59" t="s">
        <v>196</v>
      </c>
      <c r="G7" s="62">
        <f>(Financials!O96+Financials!O105)/Financials!O126</f>
        <v>0.91642871380691926</v>
      </c>
      <c r="H7" s="63" t="s">
        <v>230</v>
      </c>
      <c r="I7" s="64">
        <v>2.5000000000000001E-2</v>
      </c>
      <c r="J7" s="65" t="s">
        <v>231</v>
      </c>
      <c r="K7" s="66">
        <f>K6/K5-1</f>
        <v>-0.15534468483655983</v>
      </c>
      <c r="L7" s="67" t="s">
        <v>232</v>
      </c>
      <c r="M7" s="41"/>
      <c r="N7" s="53" t="s">
        <v>233</v>
      </c>
      <c r="O7" s="54">
        <f>Financials!O105</f>
        <v>1593040000</v>
      </c>
      <c r="P7" s="41"/>
      <c r="Q7" s="41"/>
      <c r="R7" s="41"/>
    </row>
    <row r="8" spans="1:18" ht="22" customHeight="1" x14ac:dyDescent="0.2">
      <c r="A8" s="68"/>
      <c r="B8" s="41"/>
      <c r="C8" s="41"/>
      <c r="D8" s="41"/>
      <c r="E8" s="41"/>
      <c r="F8" s="41"/>
      <c r="G8" s="41"/>
      <c r="H8" s="41"/>
      <c r="I8" s="41"/>
      <c r="J8" s="69"/>
      <c r="K8" s="69"/>
      <c r="L8" s="69"/>
      <c r="M8" s="41"/>
      <c r="N8" s="70" t="s">
        <v>214</v>
      </c>
      <c r="O8" s="71">
        <f>O5/(O6+O7)</f>
        <v>0</v>
      </c>
      <c r="P8" s="41"/>
      <c r="Q8" s="41"/>
      <c r="R8" s="41"/>
    </row>
    <row r="9" spans="1:18" ht="22" customHeight="1" x14ac:dyDescent="0.2">
      <c r="A9" s="72"/>
      <c r="B9" s="73">
        <v>2020</v>
      </c>
      <c r="C9" s="73">
        <v>2021</v>
      </c>
      <c r="D9" s="73">
        <v>2022</v>
      </c>
      <c r="E9" s="74">
        <v>2023</v>
      </c>
      <c r="F9" s="75">
        <v>2024</v>
      </c>
      <c r="G9" s="76">
        <v>2025</v>
      </c>
      <c r="H9" s="76">
        <v>2026</v>
      </c>
      <c r="I9" s="76">
        <v>2027</v>
      </c>
      <c r="J9" s="77">
        <v>2028</v>
      </c>
      <c r="K9" s="69"/>
      <c r="L9" s="69"/>
      <c r="M9" s="69"/>
      <c r="N9" s="53" t="s">
        <v>234</v>
      </c>
      <c r="O9" s="54">
        <f>Financials!O25</f>
        <v>397721000</v>
      </c>
      <c r="P9" s="41"/>
      <c r="Q9" s="41"/>
      <c r="R9" s="41"/>
    </row>
    <row r="10" spans="1:18" ht="22" customHeight="1" x14ac:dyDescent="0.2">
      <c r="A10" s="78" t="s">
        <v>235</v>
      </c>
      <c r="B10" s="79">
        <v>7398068000</v>
      </c>
      <c r="C10" s="79">
        <v>6151953000</v>
      </c>
      <c r="D10" s="79">
        <v>8630889000</v>
      </c>
      <c r="E10" s="80">
        <v>10208580000</v>
      </c>
      <c r="F10" s="79">
        <v>11150000000</v>
      </c>
      <c r="G10" s="79">
        <v>11683000000</v>
      </c>
      <c r="H10" s="79">
        <v>12300000000</v>
      </c>
      <c r="I10" s="79">
        <v>12868000000</v>
      </c>
      <c r="J10" s="80">
        <v>13650000000</v>
      </c>
      <c r="K10" s="81" t="s">
        <v>236</v>
      </c>
      <c r="L10" s="69"/>
      <c r="N10" s="53" t="s">
        <v>237</v>
      </c>
      <c r="O10" s="54">
        <f>Financials!O24</f>
        <v>1660210000</v>
      </c>
      <c r="P10" s="41"/>
      <c r="Q10" s="41"/>
      <c r="R10" s="41"/>
    </row>
    <row r="11" spans="1:18" ht="22" customHeight="1" x14ac:dyDescent="0.2">
      <c r="A11" s="82"/>
      <c r="B11" s="83"/>
      <c r="C11" s="83">
        <f t="shared" ref="C11:J11" si="0">(C10/B10)-1</f>
        <v>-0.16843789486660576</v>
      </c>
      <c r="D11" s="83">
        <f t="shared" si="0"/>
        <v>0.40295106285759985</v>
      </c>
      <c r="E11" s="83">
        <f t="shared" si="0"/>
        <v>0.18279588580040818</v>
      </c>
      <c r="F11" s="84">
        <f t="shared" si="0"/>
        <v>9.2218506393641375E-2</v>
      </c>
      <c r="G11" s="83">
        <f t="shared" si="0"/>
        <v>4.7802690582959606E-2</v>
      </c>
      <c r="H11" s="83">
        <f t="shared" si="0"/>
        <v>5.2811777796798687E-2</v>
      </c>
      <c r="I11" s="83">
        <f t="shared" si="0"/>
        <v>4.6178861788617853E-2</v>
      </c>
      <c r="J11" s="85">
        <f t="shared" si="0"/>
        <v>6.0770904569474649E-2</v>
      </c>
      <c r="K11" s="85">
        <f>AVERAGE(F11:J11)</f>
        <v>5.9956548226298437E-2</v>
      </c>
      <c r="L11" s="69"/>
      <c r="M11" s="69"/>
      <c r="N11" s="53" t="s">
        <v>238</v>
      </c>
      <c r="O11" s="86">
        <f>O9/O10</f>
        <v>0.23956065798904957</v>
      </c>
      <c r="P11" s="41"/>
      <c r="Q11" s="41"/>
      <c r="R11" s="41"/>
    </row>
    <row r="12" spans="1:18" ht="22" customHeight="1" x14ac:dyDescent="0.2">
      <c r="A12" s="78" t="s">
        <v>141</v>
      </c>
      <c r="B12" s="79">
        <v>705945000</v>
      </c>
      <c r="C12" s="79">
        <v>175835000</v>
      </c>
      <c r="D12" s="79">
        <v>985837000</v>
      </c>
      <c r="E12" s="79">
        <v>1242408000</v>
      </c>
      <c r="F12" s="87">
        <v>1262000000</v>
      </c>
      <c r="G12" s="79">
        <v>1295000000</v>
      </c>
      <c r="H12" s="79">
        <v>1340000000</v>
      </c>
      <c r="I12" s="79">
        <v>1450000000</v>
      </c>
      <c r="J12" s="80">
        <v>1535000000</v>
      </c>
      <c r="K12" s="88" t="s">
        <v>239</v>
      </c>
      <c r="L12" s="69"/>
      <c r="M12" s="69"/>
      <c r="N12" s="53" t="s">
        <v>240</v>
      </c>
      <c r="O12" s="86">
        <f>O8*(1-O11)</f>
        <v>0</v>
      </c>
      <c r="P12" s="41"/>
      <c r="Q12" s="41"/>
      <c r="R12" s="41"/>
    </row>
    <row r="13" spans="1:18" ht="22" customHeight="1" x14ac:dyDescent="0.2">
      <c r="A13" s="82"/>
      <c r="B13" s="83"/>
      <c r="C13" s="83">
        <f t="shared" ref="C13:J13" si="1">(C12/B12)-1</f>
        <v>-0.7509225222928132</v>
      </c>
      <c r="D13" s="83">
        <f t="shared" si="1"/>
        <v>4.6066027810162939</v>
      </c>
      <c r="E13" s="83">
        <f t="shared" si="1"/>
        <v>0.26025702017676355</v>
      </c>
      <c r="F13" s="84">
        <f t="shared" si="1"/>
        <v>1.5769376887463604E-2</v>
      </c>
      <c r="G13" s="83">
        <f t="shared" si="1"/>
        <v>2.6148969889064899E-2</v>
      </c>
      <c r="H13" s="83">
        <f t="shared" si="1"/>
        <v>3.474903474903468E-2</v>
      </c>
      <c r="I13" s="83">
        <f t="shared" si="1"/>
        <v>8.2089552238805874E-2</v>
      </c>
      <c r="J13" s="85">
        <f t="shared" si="1"/>
        <v>5.862068965517242E-2</v>
      </c>
      <c r="K13" s="85">
        <f>AVERAGE(F13:J13)</f>
        <v>4.3475524683908293E-2</v>
      </c>
      <c r="L13" s="69"/>
      <c r="M13" s="69"/>
      <c r="N13" s="115" t="s">
        <v>241</v>
      </c>
      <c r="O13" s="116"/>
      <c r="P13" s="41"/>
      <c r="Q13" s="41"/>
      <c r="R13" s="41"/>
    </row>
    <row r="14" spans="1:18" ht="22" customHeight="1" x14ac:dyDescent="0.2">
      <c r="A14" s="89" t="s">
        <v>242</v>
      </c>
      <c r="B14" s="90">
        <f>B12/B10</f>
        <v>9.5422886083231462E-2</v>
      </c>
      <c r="C14" s="90">
        <f t="shared" ref="C14:J14" si="2">C12/C10</f>
        <v>2.8581980388991918E-2</v>
      </c>
      <c r="D14" s="90">
        <f t="shared" si="2"/>
        <v>0.1142219532657644</v>
      </c>
      <c r="E14" s="90">
        <f t="shared" si="2"/>
        <v>0.12170233274363329</v>
      </c>
      <c r="F14" s="91">
        <f t="shared" si="2"/>
        <v>0.11318385650224215</v>
      </c>
      <c r="G14" s="90">
        <f t="shared" si="2"/>
        <v>0.11084481725584182</v>
      </c>
      <c r="H14" s="90">
        <f t="shared" si="2"/>
        <v>0.10894308943089431</v>
      </c>
      <c r="I14" s="90">
        <f t="shared" si="2"/>
        <v>0.11268262356232515</v>
      </c>
      <c r="J14" s="92">
        <f t="shared" si="2"/>
        <v>0.11245421245421246</v>
      </c>
      <c r="K14" s="92"/>
      <c r="L14" s="69"/>
      <c r="M14" s="69"/>
      <c r="N14" s="53" t="s">
        <v>243</v>
      </c>
      <c r="O14" s="86">
        <f>'[1]US Treasury Bonds'!$C$8</f>
        <v>4.1210000000000004E-2</v>
      </c>
      <c r="P14" s="41"/>
      <c r="Q14" s="41"/>
      <c r="R14" s="41"/>
    </row>
    <row r="15" spans="1:18" ht="22" customHeight="1" x14ac:dyDescent="0.2">
      <c r="A15" s="78" t="s">
        <v>184</v>
      </c>
      <c r="B15" s="79">
        <v>802759000</v>
      </c>
      <c r="C15" s="79">
        <v>654125178</v>
      </c>
      <c r="D15" s="79">
        <v>885812828</v>
      </c>
      <c r="E15" s="79">
        <v>1169789000</v>
      </c>
      <c r="F15" s="87">
        <v>983000000</v>
      </c>
      <c r="G15" s="79">
        <v>1077000000</v>
      </c>
      <c r="H15" s="79">
        <v>1143000000</v>
      </c>
      <c r="I15" s="79">
        <v>1260000000</v>
      </c>
      <c r="J15" s="80">
        <v>1340000000</v>
      </c>
      <c r="K15" s="88" t="s">
        <v>244</v>
      </c>
      <c r="L15" s="69"/>
      <c r="M15" s="69"/>
      <c r="N15" s="53" t="s">
        <v>245</v>
      </c>
      <c r="O15" s="93">
        <f>1.33</f>
        <v>1.33</v>
      </c>
      <c r="P15" s="41"/>
      <c r="Q15" s="41"/>
      <c r="R15" s="41"/>
    </row>
    <row r="16" spans="1:18" ht="22" customHeight="1" x14ac:dyDescent="0.2">
      <c r="A16" s="94"/>
      <c r="B16" s="83"/>
      <c r="C16" s="83">
        <f t="shared" ref="C16:J16" si="3">(C15/B15)-1</f>
        <v>-0.18515372857856471</v>
      </c>
      <c r="D16" s="83">
        <f t="shared" si="3"/>
        <v>0.35419466761452201</v>
      </c>
      <c r="E16" s="83">
        <f t="shared" si="3"/>
        <v>0.32058259151785506</v>
      </c>
      <c r="F16" s="84">
        <f t="shared" si="3"/>
        <v>-0.1596775144919298</v>
      </c>
      <c r="G16" s="83">
        <f t="shared" si="3"/>
        <v>9.5625635808748832E-2</v>
      </c>
      <c r="H16" s="83">
        <f t="shared" si="3"/>
        <v>6.1281337047353723E-2</v>
      </c>
      <c r="I16" s="83">
        <f t="shared" si="3"/>
        <v>0.10236220472440949</v>
      </c>
      <c r="J16" s="85">
        <f t="shared" si="3"/>
        <v>6.3492063492063489E-2</v>
      </c>
      <c r="K16" s="85">
        <f>AVERAGE(F16:J16)</f>
        <v>3.2616745316129146E-2</v>
      </c>
      <c r="L16" s="69"/>
      <c r="M16" s="69"/>
      <c r="N16" s="53" t="s">
        <v>246</v>
      </c>
      <c r="O16" s="86">
        <v>8.4000000000000005E-2</v>
      </c>
      <c r="P16" s="41"/>
      <c r="Q16" s="41"/>
      <c r="R16" s="41"/>
    </row>
    <row r="17" spans="1:18" ht="22" customHeight="1" x14ac:dyDescent="0.2">
      <c r="A17" s="89" t="s">
        <v>200</v>
      </c>
      <c r="B17" s="90">
        <f>B15/B10</f>
        <v>0.10850927566494388</v>
      </c>
      <c r="C17" s="90">
        <f t="shared" ref="C17:J17" si="4">C15/C10</f>
        <v>0.10632805192107286</v>
      </c>
      <c r="D17" s="90">
        <f t="shared" si="4"/>
        <v>0.10263286064737943</v>
      </c>
      <c r="E17" s="92">
        <f t="shared" si="4"/>
        <v>0.11458880667046739</v>
      </c>
      <c r="F17" s="90">
        <f t="shared" si="4"/>
        <v>8.8161434977578473E-2</v>
      </c>
      <c r="G17" s="90">
        <f t="shared" si="4"/>
        <v>9.2185226397329456E-2</v>
      </c>
      <c r="H17" s="90">
        <f t="shared" si="4"/>
        <v>9.2926829268292682E-2</v>
      </c>
      <c r="I17" s="90">
        <f t="shared" si="4"/>
        <v>9.7917314267951513E-2</v>
      </c>
      <c r="J17" s="92">
        <f t="shared" si="4"/>
        <v>9.8168498168498167E-2</v>
      </c>
      <c r="K17" s="92"/>
      <c r="L17" s="69"/>
      <c r="M17" s="69"/>
      <c r="N17" s="95" t="s">
        <v>241</v>
      </c>
      <c r="O17" s="96">
        <f>(O14)+((O15)*(O16-O14))</f>
        <v>9.8120700000000005E-2</v>
      </c>
      <c r="P17" s="41"/>
      <c r="Q17" s="41"/>
      <c r="R17" s="41"/>
    </row>
    <row r="18" spans="1:18" ht="22" customHeight="1" x14ac:dyDescent="0.2">
      <c r="A18" s="97" t="s">
        <v>196</v>
      </c>
      <c r="B18" s="98">
        <v>0.17597471227913669</v>
      </c>
      <c r="C18" s="98">
        <v>6.7590565529277405E-2</v>
      </c>
      <c r="D18" s="98">
        <v>0.28772379764343703</v>
      </c>
      <c r="E18" s="98">
        <v>0.31813658705038356</v>
      </c>
      <c r="F18" s="99"/>
      <c r="G18" s="98"/>
      <c r="H18" s="98"/>
      <c r="I18" s="98"/>
      <c r="J18" s="100"/>
      <c r="K18" s="101"/>
      <c r="L18" s="69"/>
      <c r="M18" s="69"/>
      <c r="N18" s="115" t="s">
        <v>247</v>
      </c>
      <c r="O18" s="116"/>
      <c r="P18" s="41"/>
      <c r="Q18" s="41"/>
      <c r="R18" s="41"/>
    </row>
    <row r="19" spans="1:18" ht="22" customHeight="1" x14ac:dyDescent="0.2">
      <c r="A19" s="69"/>
      <c r="B19" s="69"/>
      <c r="C19" s="69"/>
      <c r="D19" s="69"/>
      <c r="E19" s="69"/>
      <c r="F19" s="69" t="s">
        <v>248</v>
      </c>
      <c r="G19" s="69"/>
      <c r="H19" s="69"/>
      <c r="I19" s="69"/>
      <c r="J19" s="69"/>
      <c r="K19" s="69"/>
      <c r="L19" s="69"/>
      <c r="M19" s="69"/>
      <c r="N19" s="53" t="s">
        <v>224</v>
      </c>
      <c r="O19" s="102">
        <f>O6+O7</f>
        <v>1880399000</v>
      </c>
      <c r="P19" s="41"/>
      <c r="Q19" s="41"/>
      <c r="R19" s="41"/>
    </row>
    <row r="20" spans="1:18" ht="22" customHeight="1" x14ac:dyDescent="0.2">
      <c r="B20" s="103"/>
      <c r="C20" s="103"/>
      <c r="D20" s="103"/>
      <c r="E20" s="103"/>
      <c r="F20" s="69"/>
      <c r="G20" s="69"/>
      <c r="H20" s="69"/>
      <c r="I20" s="69"/>
      <c r="J20" s="69"/>
      <c r="K20" s="69"/>
      <c r="L20" s="69"/>
      <c r="M20" s="69"/>
      <c r="N20" s="53" t="s">
        <v>201</v>
      </c>
      <c r="O20" s="102">
        <f>A3</f>
        <v>23414422483</v>
      </c>
      <c r="P20" s="41"/>
      <c r="Q20" s="41"/>
      <c r="R20" s="41"/>
    </row>
    <row r="21" spans="1:18" ht="22" customHeight="1" x14ac:dyDescent="0.2">
      <c r="A21" s="117" t="str" cm="1">
        <f t="array" ref="A21">_FV(A1,"Industry")</f>
        <v>Specialty Retailers</v>
      </c>
      <c r="B21" s="117"/>
      <c r="C21" s="118" cm="1">
        <f t="array" ref="C21">_FV(A1,"Year incorporated",TRUE)</f>
        <v>2016</v>
      </c>
      <c r="D21" s="118"/>
      <c r="E21" s="118"/>
      <c r="F21" s="69"/>
      <c r="G21" s="69"/>
      <c r="H21" s="69"/>
      <c r="I21" s="69"/>
      <c r="J21" s="69"/>
      <c r="K21" s="69"/>
      <c r="M21" s="69"/>
      <c r="N21" s="53" t="s">
        <v>249</v>
      </c>
      <c r="O21" s="102">
        <f>O19+O20</f>
        <v>25294821483</v>
      </c>
      <c r="P21" s="41"/>
      <c r="Q21" s="41"/>
      <c r="R21" s="41"/>
    </row>
    <row r="22" spans="1:18" ht="22" customHeight="1" x14ac:dyDescent="0.2">
      <c r="A22" s="106" t="str" cm="1">
        <f t="array" ref="A22">_FV(A1,"Description")</f>
    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  </c>
      <c r="B22" s="106"/>
      <c r="C22" s="106"/>
      <c r="D22" s="106"/>
      <c r="E22" s="106"/>
      <c r="F22" s="69"/>
      <c r="G22" s="69"/>
      <c r="H22" s="69"/>
      <c r="I22" s="69"/>
      <c r="J22" s="69"/>
      <c r="K22" s="69"/>
      <c r="L22" s="69"/>
      <c r="M22" s="69"/>
      <c r="N22" s="70" t="s">
        <v>250</v>
      </c>
      <c r="O22" s="104">
        <f>(O19/O21)</f>
        <v>7.4339287243587307E-2</v>
      </c>
      <c r="P22" s="41"/>
      <c r="Q22" s="41"/>
      <c r="R22" s="41"/>
    </row>
    <row r="23" spans="1:18" ht="22" customHeight="1" x14ac:dyDescent="0.2">
      <c r="A23" s="106"/>
      <c r="B23" s="106"/>
      <c r="C23" s="106"/>
      <c r="D23" s="106"/>
      <c r="E23" s="106"/>
      <c r="F23" s="69"/>
      <c r="G23" s="69"/>
      <c r="H23" s="69"/>
      <c r="I23" s="69"/>
      <c r="J23" s="69"/>
      <c r="K23" s="69"/>
      <c r="L23" s="69"/>
      <c r="M23" s="69"/>
      <c r="N23" s="95" t="s">
        <v>251</v>
      </c>
      <c r="O23" s="105">
        <f>O20/O21</f>
        <v>0.92566071275641271</v>
      </c>
      <c r="P23" s="41"/>
      <c r="Q23" s="41"/>
      <c r="R23" s="41"/>
    </row>
    <row r="24" spans="1:18" ht="22" customHeight="1" x14ac:dyDescent="0.2">
      <c r="A24" s="106"/>
      <c r="B24" s="106"/>
      <c r="C24" s="106"/>
      <c r="D24" s="106"/>
      <c r="E24" s="106"/>
      <c r="F24" s="69"/>
      <c r="G24" s="69"/>
      <c r="H24" s="69"/>
      <c r="I24" s="69"/>
      <c r="J24" s="69"/>
      <c r="K24" s="69"/>
      <c r="L24" s="69"/>
      <c r="M24" s="69"/>
      <c r="N24" s="107" t="s">
        <v>252</v>
      </c>
      <c r="O24" s="108"/>
      <c r="P24" s="41"/>
      <c r="Q24" s="41"/>
      <c r="R24" s="41"/>
    </row>
    <row r="25" spans="1:18" ht="22" customHeight="1" x14ac:dyDescent="0.2">
      <c r="A25" s="106"/>
      <c r="B25" s="106"/>
      <c r="C25" s="106"/>
      <c r="D25" s="106"/>
      <c r="E25" s="106"/>
      <c r="F25" s="69"/>
      <c r="G25" s="69"/>
      <c r="H25" s="69"/>
      <c r="I25" s="69"/>
      <c r="J25" s="69"/>
      <c r="K25" s="69"/>
      <c r="L25" s="69"/>
      <c r="M25" s="69"/>
      <c r="N25" s="109">
        <f>(O22*O12)+(O23*O17)</f>
        <v>9.0826477098158151E-2</v>
      </c>
      <c r="O25" s="110"/>
      <c r="P25" s="41"/>
      <c r="Q25" s="41"/>
      <c r="R25" s="41"/>
    </row>
    <row r="26" spans="1:18" ht="22" customHeight="1" x14ac:dyDescent="0.2">
      <c r="A26" s="106"/>
      <c r="B26" s="106"/>
      <c r="C26" s="106"/>
      <c r="D26" s="106"/>
      <c r="E26" s="106"/>
      <c r="F26" s="69"/>
      <c r="G26" s="69"/>
      <c r="H26" s="69"/>
      <c r="I26" s="69"/>
      <c r="J26" s="69"/>
      <c r="K26" s="69"/>
      <c r="L26" s="69"/>
      <c r="M26" s="69"/>
      <c r="N26" s="69"/>
      <c r="O26" s="41"/>
      <c r="P26" s="41"/>
      <c r="Q26" s="41"/>
      <c r="R26" s="41"/>
    </row>
    <row r="27" spans="1:18" ht="22" customHeight="1" x14ac:dyDescent="0.2">
      <c r="A27" s="106"/>
      <c r="B27" s="106"/>
      <c r="C27" s="106"/>
      <c r="D27" s="106"/>
      <c r="E27" s="106"/>
      <c r="F27" s="69"/>
      <c r="G27" s="69"/>
      <c r="H27" s="69"/>
      <c r="I27" s="69"/>
      <c r="J27" s="69"/>
      <c r="K27" s="69"/>
      <c r="L27" s="69"/>
      <c r="M27" s="69"/>
      <c r="N27" s="69"/>
      <c r="O27" s="41"/>
      <c r="P27" s="41"/>
      <c r="Q27" s="41"/>
      <c r="R27" s="41"/>
    </row>
    <row r="28" spans="1:18" ht="22" customHeight="1" x14ac:dyDescent="0.2">
      <c r="A28" s="106"/>
      <c r="B28" s="106"/>
      <c r="C28" s="106"/>
      <c r="D28" s="106"/>
      <c r="E28" s="106"/>
      <c r="F28" s="69"/>
      <c r="G28" s="69"/>
      <c r="H28" s="69"/>
      <c r="I28" s="69"/>
      <c r="J28" s="69"/>
      <c r="K28" s="69"/>
      <c r="L28" s="69"/>
      <c r="M28" s="69"/>
      <c r="N28" s="69"/>
      <c r="O28" s="41"/>
      <c r="P28" s="41"/>
      <c r="Q28" s="41"/>
      <c r="R28" s="41"/>
    </row>
    <row r="29" spans="1:18" ht="22" customHeight="1" x14ac:dyDescent="0.2">
      <c r="A29" s="106"/>
      <c r="B29" s="106"/>
      <c r="C29" s="106"/>
      <c r="D29" s="106"/>
      <c r="E29" s="106"/>
      <c r="F29" s="69"/>
      <c r="G29" s="69"/>
      <c r="H29" s="69"/>
      <c r="I29" s="69"/>
      <c r="J29" s="69"/>
      <c r="K29" s="69"/>
      <c r="L29" s="69"/>
      <c r="M29" s="69"/>
      <c r="N29" s="69"/>
      <c r="O29" s="41"/>
      <c r="P29" s="41"/>
      <c r="Q29" s="41"/>
      <c r="R29" s="41"/>
    </row>
    <row r="30" spans="1:18" ht="22" customHeight="1" x14ac:dyDescent="0.2">
      <c r="A30" s="106"/>
      <c r="B30" s="106"/>
      <c r="C30" s="106"/>
      <c r="D30" s="106"/>
      <c r="E30" s="106"/>
      <c r="F30" s="69"/>
      <c r="G30" s="69"/>
      <c r="H30" s="69"/>
      <c r="I30" s="69"/>
      <c r="J30" s="69"/>
      <c r="K30" s="69"/>
      <c r="L30" s="69"/>
      <c r="M30" s="69"/>
      <c r="N30" s="69"/>
      <c r="O30" s="41"/>
      <c r="P30" s="41"/>
      <c r="Q30" s="41"/>
      <c r="R30" s="41"/>
    </row>
    <row r="31" spans="1:18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</row>
    <row r="33" spans="1:18" x14ac:dyDescent="0.2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41"/>
      <c r="R33" s="41"/>
    </row>
    <row r="34" spans="1:18" x14ac:dyDescent="0.2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41"/>
      <c r="R34" s="41"/>
    </row>
    <row r="35" spans="1:18" x14ac:dyDescent="0.2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41"/>
      <c r="R35" s="41"/>
    </row>
    <row r="36" spans="1:18" x14ac:dyDescent="0.2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41"/>
      <c r="R36" s="41"/>
    </row>
    <row r="37" spans="1:18" x14ac:dyDescent="0.2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41"/>
      <c r="R37" s="41"/>
    </row>
    <row r="38" spans="1:18" x14ac:dyDescent="0.2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41"/>
      <c r="R38" s="41"/>
    </row>
    <row r="39" spans="1:18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41"/>
      <c r="R39" s="41"/>
    </row>
    <row r="40" spans="1:18" x14ac:dyDescent="0.2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41"/>
      <c r="R40" s="41"/>
    </row>
    <row r="41" spans="1:18" x14ac:dyDescent="0.2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41"/>
      <c r="R41" s="41"/>
    </row>
    <row r="42" spans="1:18" x14ac:dyDescent="0.2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41"/>
      <c r="R42" s="41"/>
    </row>
    <row r="43" spans="1:18" x14ac:dyDescent="0.2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41"/>
      <c r="R43" s="41"/>
    </row>
    <row r="44" spans="1:18" x14ac:dyDescent="0.2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41"/>
      <c r="R44" s="41"/>
    </row>
    <row r="45" spans="1:18" x14ac:dyDescent="0.2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41"/>
      <c r="R45" s="41"/>
    </row>
    <row r="46" spans="1:18" x14ac:dyDescent="0.2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41"/>
      <c r="R46" s="41"/>
    </row>
    <row r="47" spans="1:18" x14ac:dyDescent="0.2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41"/>
      <c r="R47" s="41"/>
    </row>
    <row r="48" spans="1:18" x14ac:dyDescent="0.2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41"/>
      <c r="R48" s="41"/>
    </row>
    <row r="49" spans="1:18" x14ac:dyDescent="0.2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41"/>
      <c r="R49" s="41"/>
    </row>
    <row r="50" spans="1:18" x14ac:dyDescent="0.2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41"/>
      <c r="R50" s="41"/>
    </row>
    <row r="51" spans="1:18" x14ac:dyDescent="0.2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41"/>
      <c r="R51" s="41"/>
    </row>
    <row r="52" spans="1:18" x14ac:dyDescent="0.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41"/>
      <c r="R52" s="41"/>
    </row>
    <row r="53" spans="1:18" x14ac:dyDescent="0.2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41"/>
      <c r="R53" s="41"/>
    </row>
    <row r="54" spans="1:18" x14ac:dyDescent="0.2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41"/>
      <c r="R54" s="41"/>
    </row>
    <row r="55" spans="1:18" x14ac:dyDescent="0.2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41"/>
      <c r="R55" s="41"/>
    </row>
    <row r="56" spans="1:18" x14ac:dyDescent="0.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41"/>
      <c r="R56" s="41"/>
    </row>
    <row r="57" spans="1:18" x14ac:dyDescent="0.2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41"/>
      <c r="R57" s="41"/>
    </row>
    <row r="58" spans="1:18" x14ac:dyDescent="0.2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41"/>
      <c r="R58" s="41"/>
    </row>
    <row r="59" spans="1:18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41"/>
      <c r="R59" s="41"/>
    </row>
    <row r="60" spans="1:18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41"/>
      <c r="R60" s="41"/>
    </row>
    <row r="61" spans="1:18" x14ac:dyDescent="0.2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41"/>
      <c r="R61" s="41"/>
    </row>
    <row r="62" spans="1:18" x14ac:dyDescent="0.2">
      <c r="O62" s="41"/>
      <c r="P62" s="41"/>
      <c r="Q62" s="41"/>
      <c r="R62" s="41"/>
    </row>
    <row r="63" spans="1:18" x14ac:dyDescent="0.2">
      <c r="O63" s="41"/>
      <c r="P63" s="41"/>
    </row>
    <row r="64" spans="1:18" x14ac:dyDescent="0.2">
      <c r="O64" s="41"/>
      <c r="P64" s="41"/>
    </row>
    <row r="65" spans="15:16" x14ac:dyDescent="0.2">
      <c r="O65" s="41"/>
      <c r="P65" s="41"/>
    </row>
    <row r="66" spans="15:16" x14ac:dyDescent="0.2">
      <c r="O66" s="41"/>
      <c r="P66" s="41"/>
    </row>
    <row r="67" spans="15:16" x14ac:dyDescent="0.2">
      <c r="O67" s="41"/>
      <c r="P67" s="41"/>
    </row>
    <row r="68" spans="15:16" x14ac:dyDescent="0.2">
      <c r="O68" s="41"/>
      <c r="P68" s="41"/>
    </row>
    <row r="69" spans="15:16" x14ac:dyDescent="0.2">
      <c r="O69" s="41"/>
      <c r="P69" s="41"/>
    </row>
    <row r="70" spans="15:16" x14ac:dyDescent="0.2">
      <c r="O70" s="41"/>
      <c r="P70" s="41"/>
    </row>
    <row r="71" spans="15:16" x14ac:dyDescent="0.2">
      <c r="O71" s="41"/>
      <c r="P71" s="41"/>
    </row>
    <row r="72" spans="15:16" x14ac:dyDescent="0.2">
      <c r="O72" s="41"/>
      <c r="P72" s="41"/>
    </row>
    <row r="73" spans="15:16" x14ac:dyDescent="0.2">
      <c r="O73" s="41"/>
      <c r="P73" s="41"/>
    </row>
    <row r="74" spans="15:16" x14ac:dyDescent="0.2">
      <c r="O74" s="41"/>
      <c r="P74" s="41"/>
    </row>
    <row r="75" spans="15:16" x14ac:dyDescent="0.2">
      <c r="O75" s="41"/>
      <c r="P75" s="41"/>
    </row>
    <row r="76" spans="15:16" x14ac:dyDescent="0.2">
      <c r="O76" s="41"/>
      <c r="P76" s="41"/>
    </row>
    <row r="77" spans="15:16" x14ac:dyDescent="0.2">
      <c r="O77" s="41"/>
      <c r="P77" s="41"/>
    </row>
    <row r="78" spans="15:16" x14ac:dyDescent="0.2">
      <c r="O78" s="41"/>
      <c r="P78" s="41"/>
    </row>
    <row r="79" spans="15:16" x14ac:dyDescent="0.2">
      <c r="O79" s="41"/>
      <c r="P79" s="41"/>
    </row>
    <row r="80" spans="15:16" x14ac:dyDescent="0.2">
      <c r="O80" s="41"/>
      <c r="P80" s="41"/>
    </row>
    <row r="81" spans="15:16" x14ac:dyDescent="0.2">
      <c r="O81" s="41"/>
      <c r="P81" s="41"/>
    </row>
    <row r="82" spans="15:16" x14ac:dyDescent="0.2">
      <c r="O82" s="41"/>
      <c r="P82" s="41"/>
    </row>
    <row r="83" spans="15:16" x14ac:dyDescent="0.2">
      <c r="O83" s="41"/>
      <c r="P83" s="41"/>
    </row>
    <row r="84" spans="15:16" x14ac:dyDescent="0.2">
      <c r="O84" s="41"/>
      <c r="P84" s="41"/>
    </row>
    <row r="85" spans="15:16" x14ac:dyDescent="0.2">
      <c r="O85" s="41"/>
      <c r="P85" s="41"/>
    </row>
    <row r="86" spans="15:16" x14ac:dyDescent="0.2">
      <c r="O86" s="41"/>
      <c r="P86" s="41"/>
    </row>
    <row r="87" spans="15:16" x14ac:dyDescent="0.2">
      <c r="O87" s="41"/>
      <c r="P87" s="41"/>
    </row>
    <row r="88" spans="15:16" x14ac:dyDescent="0.2">
      <c r="O88" s="41"/>
      <c r="P88" s="41"/>
    </row>
    <row r="89" spans="15:16" x14ac:dyDescent="0.2">
      <c r="O89" s="41"/>
      <c r="P89" s="41"/>
    </row>
    <row r="90" spans="15:16" x14ac:dyDescent="0.2">
      <c r="O90" s="41"/>
      <c r="P90" s="41"/>
    </row>
    <row r="91" spans="15:16" x14ac:dyDescent="0.2">
      <c r="O91" s="41"/>
      <c r="P91" s="41"/>
    </row>
    <row r="92" spans="15:16" x14ac:dyDescent="0.2">
      <c r="O92" s="41"/>
      <c r="P92" s="41"/>
    </row>
    <row r="93" spans="15:16" x14ac:dyDescent="0.2">
      <c r="O93" s="41"/>
      <c r="P93" s="41"/>
    </row>
    <row r="94" spans="15:16" x14ac:dyDescent="0.2">
      <c r="O94" s="41"/>
      <c r="P94" s="41"/>
    </row>
    <row r="95" spans="15:16" x14ac:dyDescent="0.2">
      <c r="O95" s="41"/>
      <c r="P95" s="41"/>
    </row>
    <row r="96" spans="15:16" x14ac:dyDescent="0.2">
      <c r="O96" s="41"/>
      <c r="P96" s="41"/>
    </row>
    <row r="97" spans="15:16" x14ac:dyDescent="0.2">
      <c r="O97" s="41"/>
      <c r="P97" s="41"/>
    </row>
    <row r="98" spans="15:16" x14ac:dyDescent="0.2">
      <c r="O98" s="41"/>
      <c r="P98" s="41"/>
    </row>
    <row r="99" spans="15:16" x14ac:dyDescent="0.2">
      <c r="O99" s="41"/>
      <c r="P99" s="41"/>
    </row>
    <row r="100" spans="15:16" x14ac:dyDescent="0.2">
      <c r="O100" s="41"/>
      <c r="P100" s="41"/>
    </row>
    <row r="101" spans="15:16" x14ac:dyDescent="0.2">
      <c r="O101" s="41"/>
      <c r="P101" s="41"/>
    </row>
    <row r="102" spans="15:16" x14ac:dyDescent="0.2">
      <c r="O102" s="41"/>
      <c r="P102" s="41"/>
    </row>
    <row r="103" spans="15:16" x14ac:dyDescent="0.2">
      <c r="O103" s="41"/>
      <c r="P103" s="41"/>
    </row>
    <row r="104" spans="15:16" x14ac:dyDescent="0.2">
      <c r="O104" s="41"/>
      <c r="P104" s="41"/>
    </row>
    <row r="105" spans="15:16" x14ac:dyDescent="0.2">
      <c r="O105" s="41"/>
      <c r="P105" s="41"/>
    </row>
    <row r="106" spans="15:16" x14ac:dyDescent="0.2">
      <c r="O106" s="41"/>
      <c r="P106" s="41"/>
    </row>
    <row r="107" spans="15:16" x14ac:dyDescent="0.2">
      <c r="O107" s="41"/>
      <c r="P107" s="41"/>
    </row>
    <row r="108" spans="15:16" x14ac:dyDescent="0.2">
      <c r="O108" s="41"/>
      <c r="P108" s="41"/>
    </row>
    <row r="109" spans="15:16" x14ac:dyDescent="0.2">
      <c r="O109" s="41"/>
      <c r="P109" s="41"/>
    </row>
    <row r="110" spans="15:16" x14ac:dyDescent="0.2">
      <c r="O110" s="41"/>
      <c r="P110" s="41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B21"/>
    <mergeCell ref="C21:E21"/>
  </mergeCells>
  <hyperlinks>
    <hyperlink ref="F9" r:id="rId1" display="https://finbox.com/NASDAQGS:ULTA/explorer/revenue_proj" xr:uid="{1E63EE0C-9F2E-EC45-8ED1-A7BAD27D8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2023-12-09T08:25:19Z</dcterms:modified>
</cp:coreProperties>
</file>