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B08215DE-3F73-E44B-9E47-22C179D7FED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J17" i="2"/>
  <c r="I17" i="2"/>
  <c r="H17" i="2"/>
  <c r="G17" i="2"/>
  <c r="F17" i="2"/>
  <c r="E17" i="2"/>
  <c r="D17" i="2"/>
  <c r="C17" i="2"/>
  <c r="B17" i="2"/>
  <c r="J14" i="2"/>
  <c r="I14" i="2"/>
  <c r="H14" i="2"/>
  <c r="G14" i="2"/>
  <c r="F14" i="2"/>
  <c r="E14" i="2"/>
  <c r="D14" i="2"/>
  <c r="C14" i="2"/>
  <c r="B14" i="2"/>
  <c r="G3" i="2"/>
  <c r="O10" i="2"/>
  <c r="O9" i="2"/>
  <c r="O7" i="2"/>
  <c r="G7" i="2"/>
  <c r="E7" i="2"/>
  <c r="O6" i="2"/>
  <c r="O19" i="2" s="1"/>
  <c r="G6" i="2"/>
  <c r="E6" i="2"/>
  <c r="C6" i="2"/>
  <c r="O5" i="2"/>
  <c r="G5" i="2"/>
  <c r="C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1" i="2"/>
  <c r="E4" i="2"/>
  <c r="K13" i="2"/>
  <c r="G4" i="2"/>
  <c r="O8" i="2"/>
  <c r="O12" i="2" s="1"/>
  <c r="O21" i="2"/>
  <c r="O22" i="2" s="1"/>
  <c r="C7" i="2"/>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<sst xmlns="http://schemas.openxmlformats.org/spreadsheetml/2006/main" count="1271" uniqueCount="255">
  <si>
    <t>2010 Y</t>
  </si>
  <si>
    <t>2011 Y</t>
  </si>
  <si>
    <t>2012 Y</t>
  </si>
  <si>
    <t>2013 Y</t>
  </si>
  <si>
    <t>2014 Y</t>
  </si>
  <si>
    <t>2015 Y</t>
  </si>
  <si>
    <t>2016 Y</t>
  </si>
  <si>
    <t>2017 Y</t>
  </si>
  <si>
    <t>2018 Y</t>
  </si>
  <si>
    <t>2019 Y</t>
  </si>
  <si>
    <t>2020 Y</t>
  </si>
  <si>
    <t>2021 Y</t>
  </si>
  <si>
    <t>2022 Y</t>
  </si>
  <si>
    <t>TTM</t>
  </si>
  <si>
    <t>2022 Q4</t>
  </si>
  <si>
    <t>2004 Q1</t>
  </si>
  <si>
    <t>2004 Q2</t>
  </si>
  <si>
    <t>2004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</si>
  <si>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</si>
  <si>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</si>
  <si>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</si>
  <si>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</si>
  <si>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</si>
  <si>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</si>
  <si>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</si>
  <si>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</si>
  <si>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</si>
  <si>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</si>
  <si>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</si>
  <si>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</si>
  <si>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</si>
  <si>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</si>
  <si>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</si>
  <si>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</si>
  <si>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</si>
  <si>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</si>
  <si>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</si>
  <si>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</si>
  <si>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</si>
  <si>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</si>
  <si>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</si>
  <si>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</si>
  <si>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</si>
  <si>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</si>
  <si>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</si>
  <si>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</si>
  <si>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</si>
  <si>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</si>
  <si>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</si>
  <si>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</si>
  <si>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</si>
  <si>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</si>
  <si>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</si>
  <si>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</si>
  <si>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</si>
  <si>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</si>
  <si>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</si>
  <si>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</si>
  <si>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</si>
  <si>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</si>
  <si>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</si>
  <si>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</si>
  <si>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</si>
  <si>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</si>
  <si>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</si>
  <si>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</si>
  <si>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</si>
  <si>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</si>
  <si>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</si>
  <si>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</si>
  <si>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</si>
  <si>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</si>
  <si>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</si>
  <si>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</si>
  <si>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</si>
  <si>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</si>
  <si>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</si>
  <si>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</si>
  <si>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</si>
  <si>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</si>
  <si>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</si>
  <si>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</si>
  <si>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</si>
  <si>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</si>
  <si>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</si>
  <si>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</si>
  <si>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</si>
  <si>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</si>
  <si>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</si>
  <si>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</si>
  <si>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</si>
  <si>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</si>
  <si>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</si>
  <si>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</si>
  <si>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</si>
  <si>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</si>
  <si>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</si>
  <si>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</si>
  <si>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</si>
  <si>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</si>
  <si>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</si>
  <si>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</si>
  <si>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</si>
  <si>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</si>
  <si>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</si>
  <si>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</si>
  <si>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</si>
  <si>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</si>
  <si>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</si>
  <si>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</si>
  <si>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</si>
  <si>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</si>
  <si>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</si>
  <si>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</si>
  <si>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</si>
  <si>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</si>
  <si>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</si>
  <si>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</si>
  <si>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</si>
  <si>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</si>
  <si>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</si>
  <si>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</si>
  <si>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</si>
  <si>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</si>
  <si>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</si>
  <si>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</si>
  <si>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</si>
  <si>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</si>
  <si>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</si>
  <si>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</si>
  <si>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</si>
  <si>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</si>
  <si>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</si>
  <si>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</si>
  <si>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</si>
  <si>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</si>
  <si>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</si>
  <si>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</si>
  <si>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</si>
  <si>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</si>
  <si>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</si>
  <si>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</si>
  <si>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</si>
  <si>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</si>
  <si>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</si>
  <si>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</si>
  <si>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</si>
  <si>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</si>
  <si>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</si>
  <si>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</si>
  <si>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</si>
  <si>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</si>
  <si>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</si>
  <si>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</si>
  <si>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</si>
  <si>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</si>
  <si>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</si>
  <si>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</si>
  <si>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</si>
  <si>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</si>
  <si>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</si>
  <si>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</si>
  <si>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</si>
  <si>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</si>
  <si>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</si>
  <si>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</si>
  <si>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</si>
  <si>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</si>
  <si>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</si>
  <si>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</si>
  <si>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</si>
  <si>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</si>
  <si>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</si>
  <si>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</si>
  <si>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</si>
  <si>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</si>
  <si>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</si>
  <si>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</si>
  <si>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</si>
  <si>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</si>
  <si>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</si>
  <si>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</si>
  <si>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</si>
  <si>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</si>
  <si>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</si>
  <si>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</si>
  <si>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</si>
  <si>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</si>
  <si>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</si>
  <si>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</si>
  <si>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</si>
  <si>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</si>
  <si>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</si>
  <si>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</si>
  <si>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</si>
  <si>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</si>
  <si>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</si>
  <si>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</si>
  <si>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</si>
  <si>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</si>
  <si>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</si>
  <si>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</si>
  <si>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</si>
  <si>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</si>
  <si>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</si>
  <si>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</si>
  <si>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</si>
  <si>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</si>
  <si>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</si>
  <si>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</si>
  <si>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</si>
  <si>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</si>
  <si>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</si>
  <si>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</si>
  <si>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</si>
  <si>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</si>
  <si>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</si>
  <si>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</si>
  <si>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</si>
  <si>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</si>
  <si>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</si>
  <si>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</si>
  <si>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</si>
  <si>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</si>
  <si>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</si>
  <si>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</si>
  <si>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</si>
  <si>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</si>
  <si>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</si>
  <si>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</si>
  <si>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</si>
  <si>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</si>
  <si>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</si>
  <si>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</si>
  <si>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</si>
  <si>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</si>
  <si>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</si>
  <si>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</si>
  <si>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</si>
  <si>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</si>
  <si>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</si>
  <si>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</si>
  <si>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</si>
  <si>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</si>
  <si>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</si>
  <si>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</si>
  <si>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</si>
  <si>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</si>
  <si>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</si>
  <si>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</si>
  <si>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</si>
  <si>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2023 Q1</t>
  </si>
  <si>
    <t>2023 Q2</t>
  </si>
  <si>
    <t>2023 Q3</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</si>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</sst>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n">
        <color theme="1"/>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5" xfId="0" applyNumberFormat="1" applyFont="1" applyBorder="1"/>
    <xf numFmtId="3" fontId="5" fillId="0" borderId="6" xfId="0" applyNumberFormat="1" applyFont="1" applyBorder="1"/>
    <xf numFmtId="0" fontId="4" fillId="0" borderId="6" xfId="0" applyFont="1" applyBorder="1"/>
    <xf numFmtId="3" fontId="6" fillId="4" borderId="6" xfId="0" applyNumberFormat="1" applyFont="1" applyFill="1" applyBorder="1"/>
    <xf numFmtId="0" fontId="3" fillId="0" borderId="6" xfId="0" applyFont="1" applyBorder="1"/>
    <xf numFmtId="4" fontId="7" fillId="0" borderId="6" xfId="0" applyNumberFormat="1" applyFont="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4" fontId="8" fillId="5" borderId="6" xfId="0" applyNumberFormat="1" applyFont="1" applyFill="1" applyBorder="1"/>
    <xf numFmtId="0" fontId="4" fillId="0" borderId="8" xfId="0" applyFont="1" applyBorder="1"/>
    <xf numFmtId="4" fontId="7" fillId="0" borderId="8" xfId="0" applyNumberFormat="1" applyFont="1" applyBorder="1"/>
    <xf numFmtId="4" fontId="8" fillId="5" borderId="8" xfId="0" applyNumberFormat="1" applyFont="1" applyFill="1" applyBorder="1"/>
    <xf numFmtId="0" fontId="1" fillId="11" borderId="0" xfId="0" applyFont="1" applyFill="1"/>
    <xf numFmtId="9" fontId="4" fillId="11" borderId="1" xfId="1" applyFont="1" applyFill="1" applyBorder="1" applyAlignment="1">
      <alignment horizontal="left" indent="1"/>
    </xf>
    <xf numFmtId="0" fontId="1" fillId="11" borderId="0" xfId="0" applyFont="1" applyFill="1" applyAlignment="1">
      <alignment vertical="center"/>
    </xf>
    <xf numFmtId="9" fontId="4" fillId="12" borderId="1" xfId="1" applyFont="1" applyFill="1" applyBorder="1" applyAlignment="1">
      <alignment horizontal="right" vertical="center" indent="1"/>
    </xf>
    <xf numFmtId="9" fontId="4" fillId="12" borderId="9"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9" fontId="4" fillId="9" borderId="12" xfId="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7"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7" xfId="0" applyNumberFormat="1" applyFont="1" applyFill="1" applyBorder="1" applyAlignment="1">
      <alignment horizontal="right" vertical="center" indent="1"/>
    </xf>
    <xf numFmtId="165" fontId="4" fillId="9" borderId="17" xfId="1"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9" fontId="25" fillId="10" borderId="16" xfId="1" applyFont="1" applyFill="1" applyBorder="1" applyAlignment="1">
      <alignment horizontal="left" vertical="center" indent="1"/>
    </xf>
    <xf numFmtId="166" fontId="4" fillId="9" borderId="19"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165" fontId="4" fillId="9" borderId="19" xfId="1" applyNumberFormat="1" applyFont="1" applyFill="1" applyBorder="1" applyAlignment="1">
      <alignment horizontal="right" vertical="center" indent="1"/>
    </xf>
    <xf numFmtId="166" fontId="3" fillId="13" borderId="17" xfId="0" applyNumberFormat="1" applyFont="1" applyFill="1" applyBorder="1" applyAlignment="1">
      <alignment horizontal="right" vertical="center" indent="1"/>
    </xf>
    <xf numFmtId="9" fontId="15" fillId="10" borderId="18"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2" xfId="1"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9" fontId="3" fillId="13" borderId="22" xfId="1" applyFont="1" applyFill="1" applyBorder="1" applyAlignment="1">
      <alignment horizontal="right" vertical="center" indent="1"/>
    </xf>
    <xf numFmtId="9" fontId="15" fillId="10" borderId="23" xfId="1" applyFont="1" applyFill="1" applyBorder="1" applyAlignment="1">
      <alignment horizontal="left" vertical="center" indent="1"/>
    </xf>
    <xf numFmtId="0" fontId="3" fillId="9" borderId="24" xfId="0" applyFont="1" applyFill="1" applyBorder="1" applyAlignment="1">
      <alignment horizontal="right" vertical="center"/>
    </xf>
    <xf numFmtId="0" fontId="19" fillId="9" borderId="25" xfId="0" applyFont="1" applyFill="1" applyBorder="1" applyAlignment="1">
      <alignment horizontal="right" vertical="center" indent="1"/>
    </xf>
    <xf numFmtId="0" fontId="19" fillId="9" borderId="26"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6" xfId="0" applyFont="1" applyFill="1" applyBorder="1" applyAlignment="1">
      <alignment horizontal="right" vertical="center" indent="1"/>
    </xf>
    <xf numFmtId="0" fontId="1" fillId="11" borderId="1" xfId="0" applyFont="1" applyFill="1" applyBorder="1" applyAlignment="1">
      <alignment vertical="center"/>
    </xf>
    <xf numFmtId="9" fontId="19" fillId="10" borderId="27"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29" xfId="0" applyNumberFormat="1" applyFont="1" applyFill="1" applyBorder="1" applyAlignment="1">
      <alignment horizontal="right" vertical="center" indent="1"/>
    </xf>
    <xf numFmtId="164" fontId="12" fillId="10" borderId="30" xfId="0" applyNumberFormat="1" applyFont="1" applyFill="1" applyBorder="1" applyAlignment="1">
      <alignment horizontal="right" vertical="center"/>
    </xf>
    <xf numFmtId="9" fontId="22" fillId="12" borderId="9" xfId="1" applyFont="1" applyFill="1" applyBorder="1" applyAlignment="1">
      <alignment horizontal="left" vertical="center" indent="2"/>
    </xf>
    <xf numFmtId="9" fontId="4" fillId="12" borderId="16" xfId="1" applyFont="1" applyFill="1" applyBorder="1" applyAlignment="1">
      <alignment horizontal="right" vertical="center" indent="1"/>
    </xf>
    <xf numFmtId="164" fontId="4" fillId="10" borderId="27" xfId="0" applyNumberFormat="1" applyFont="1" applyFill="1" applyBorder="1" applyAlignment="1">
      <alignment horizontal="right" vertical="center" indent="1"/>
    </xf>
    <xf numFmtId="164" fontId="12" fillId="10" borderId="29" xfId="0" applyNumberFormat="1" applyFont="1" applyFill="1" applyBorder="1" applyAlignment="1">
      <alignment horizontal="right" vertical="center"/>
    </xf>
    <xf numFmtId="0" fontId="12" fillId="12" borderId="27" xfId="0" applyFont="1" applyFill="1" applyBorder="1" applyAlignment="1">
      <alignment horizontal="left" vertical="center" indent="2"/>
    </xf>
    <xf numFmtId="10" fontId="12" fillId="12" borderId="28" xfId="1" applyNumberFormat="1" applyFont="1" applyFill="1" applyBorder="1" applyAlignment="1">
      <alignment horizontal="right" vertical="center" indent="1"/>
    </xf>
    <xf numFmtId="10" fontId="12" fillId="12" borderId="27" xfId="1" applyNumberFormat="1" applyFont="1" applyFill="1" applyBorder="1" applyAlignment="1">
      <alignment horizontal="right" vertical="center" indent="1"/>
    </xf>
    <xf numFmtId="10" fontId="12" fillId="12" borderId="29" xfId="1" applyNumberFormat="1" applyFont="1" applyFill="1" applyBorder="1" applyAlignment="1">
      <alignment horizontal="right" vertical="center" indent="1"/>
    </xf>
    <xf numFmtId="0" fontId="23" fillId="12" borderId="9" xfId="0" applyFont="1" applyFill="1" applyBorder="1" applyAlignment="1">
      <alignment horizontal="left" vertical="center" indent="1"/>
    </xf>
    <xf numFmtId="9" fontId="19" fillId="10" borderId="31" xfId="1" applyFont="1" applyFill="1" applyBorder="1" applyAlignment="1">
      <alignment horizontal="left" vertical="center" indent="2"/>
    </xf>
    <xf numFmtId="9" fontId="4" fillId="10" borderId="32"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3" xfId="1" applyFont="1" applyFill="1" applyBorder="1" applyAlignment="1">
      <alignment horizontal="right" vertical="center" indent="1"/>
    </xf>
    <xf numFmtId="9" fontId="4" fillId="10" borderId="33" xfId="1" applyFont="1" applyFill="1" applyBorder="1" applyAlignment="1">
      <alignment horizontal="right" vertical="center"/>
    </xf>
    <xf numFmtId="0" fontId="13" fillId="12" borderId="9" xfId="0" applyFont="1" applyFill="1" applyBorder="1" applyAlignment="1">
      <alignment horizontal="left" vertical="center" wrapText="1"/>
    </xf>
    <xf numFmtId="164" fontId="14" fillId="12" borderId="16" xfId="0" applyNumberFormat="1" applyFont="1" applyFill="1" applyBorder="1" applyAlignment="1">
      <alignment vertical="center"/>
    </xf>
    <xf numFmtId="0" fontId="17" fillId="12" borderId="9" xfId="0" applyFont="1" applyFill="1" applyBorder="1" applyAlignment="1">
      <alignment horizontal="left" vertical="center" wrapText="1"/>
    </xf>
    <xf numFmtId="10" fontId="18" fillId="12" borderId="16" xfId="0" applyNumberFormat="1" applyFont="1" applyFill="1" applyBorder="1" applyAlignment="1">
      <alignment vertical="center"/>
    </xf>
    <xf numFmtId="10" fontId="14" fillId="12" borderId="16" xfId="0" applyNumberFormat="1" applyFont="1" applyFill="1" applyBorder="1" applyAlignment="1">
      <alignment vertical="center"/>
    </xf>
    <xf numFmtId="2" fontId="14" fillId="12" borderId="16" xfId="0" applyNumberFormat="1" applyFont="1" applyFill="1" applyBorder="1" applyAlignment="1">
      <alignment vertical="center"/>
    </xf>
    <xf numFmtId="0" fontId="17" fillId="12" borderId="31" xfId="0" applyFont="1" applyFill="1" applyBorder="1" applyAlignment="1">
      <alignment horizontal="left" vertical="center" wrapText="1"/>
    </xf>
    <xf numFmtId="10" fontId="18" fillId="12" borderId="33" xfId="0" applyNumberFormat="1" applyFont="1" applyFill="1" applyBorder="1" applyAlignment="1">
      <alignment vertical="center"/>
    </xf>
    <xf numFmtId="164" fontId="14" fillId="12" borderId="16"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10" fontId="18" fillId="12" borderId="33" xfId="0" applyNumberFormat="1" applyFont="1" applyFill="1" applyBorder="1" applyAlignment="1">
      <alignment horizontal="right" vertical="center"/>
    </xf>
    <xf numFmtId="9" fontId="4" fillId="10" borderId="31" xfId="1" applyFont="1" applyFill="1" applyBorder="1" applyAlignment="1">
      <alignment horizontal="center" vertical="center"/>
    </xf>
    <xf numFmtId="9" fontId="4" fillId="10" borderId="33" xfId="1" applyFont="1" applyFill="1" applyBorder="1" applyAlignment="1">
      <alignment horizontal="center" vertical="center"/>
    </xf>
    <xf numFmtId="10" fontId="19" fillId="9" borderId="31" xfId="1" applyNumberFormat="1" applyFont="1" applyFill="1" applyBorder="1" applyAlignment="1">
      <alignment horizontal="center" vertical="center"/>
    </xf>
    <xf numFmtId="10" fontId="19" fillId="9" borderId="33"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2" borderId="27" xfId="1" applyFont="1" applyFill="1" applyBorder="1" applyAlignment="1">
      <alignment horizontal="center" vertical="center"/>
    </xf>
    <xf numFmtId="9" fontId="19" fillId="12" borderId="29" xfId="1" applyFont="1" applyFill="1" applyBorder="1" applyAlignment="1">
      <alignment horizontal="center" vertical="center"/>
    </xf>
    <xf numFmtId="9" fontId="4" fillId="10" borderId="27" xfId="1" applyFont="1" applyFill="1" applyBorder="1" applyAlignment="1">
      <alignment horizontal="center" vertical="center"/>
    </xf>
    <xf numFmtId="9" fontId="4" fillId="10" borderId="29" xfId="1" applyFont="1" applyFill="1" applyBorder="1" applyAlignment="1">
      <alignment horizontal="center" vertical="center"/>
    </xf>
    <xf numFmtId="0" fontId="12" fillId="11" borderId="0" xfId="0" applyFont="1" applyFill="1" applyAlignment="1">
      <alignment horizontal="left" vertical="center" wrapText="1" indent="3"/>
    </xf>
    <xf numFmtId="0" fontId="4" fillId="11" borderId="0" xfId="0" applyFont="1" applyFill="1" applyAlignment="1">
      <alignment horizontal="left" vertical="center" wrapText="1"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https://www.bing.com/financeapi/forcetrigger?t=a1xuar&amp;q=XNYS%3aMOG.A&amp;form=skydnc</v>
    <v>Learn more on Bing</v>
  </rv>
  <rv s="1">
    <v>0</v>
    <v>MOOG INC. (XNYS:MOG.A)</v>
    <v>2</v>
    <v>3</v>
    <v>Finance</v>
    <v>4</v>
    <v>en-US</v>
    <v>a1xuar</v>
    <v>268435456</v>
    <v>1</v>
    <v>Powered by Refinitiv</v>
    <v>144.41499999999999</v>
    <v>81.394999999999996</v>
    <v>1.2091000000000001</v>
    <v>0.56000000000000005</v>
    <v>4.0569999999999998E-3</v>
    <v>0</v>
    <v>0</v>
    <v>USD</v>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v>13500</v>
    <v>New York Stock Exchange</v>
    <v>XNYS</v>
    <v>XNYS</v>
    <v>400 Jamison Road, EAST AURORA, NY, 14052 US</v>
    <v>139.17500000000001</v>
    <v>Aerospace &amp; Defense</v>
    <v>Stock</v>
    <v>45268.881944444445</v>
    <v>0</v>
    <v>136.88999999999999</v>
    <v>4413593000</v>
    <v>MOOG INC.</v>
    <v>MOOG INC.</v>
    <v>137.77000000000001</v>
    <v>25.868099999999998</v>
    <v>138.04</v>
    <v>138.6</v>
    <v>138.6</v>
    <v>31887280</v>
    <v>MOG.A</v>
    <v>MOOG INC. (XNYS:MOG.A)</v>
    <v>185472</v>
    <v>161933</v>
    <v>1951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MOG.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2"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251</v>
      </c>
      <c r="R1" s="2" t="s">
        <v>252</v>
      </c>
      <c r="S1" s="2" t="s">
        <v>253</v>
      </c>
    </row>
    <row r="2" spans="1:19" ht="16" x14ac:dyDescent="0.2">
      <c r="A2" s="30" t="s">
        <v>18</v>
      </c>
      <c r="B2" s="27">
        <v>2114252000</v>
      </c>
      <c r="C2" s="27">
        <v>2330680000</v>
      </c>
      <c r="D2" s="27">
        <v>2469536000</v>
      </c>
      <c r="E2" s="27">
        <v>2610311000</v>
      </c>
      <c r="F2" s="27">
        <v>2648385000</v>
      </c>
      <c r="G2" s="27">
        <v>2525532000</v>
      </c>
      <c r="H2" s="27">
        <v>2411937000</v>
      </c>
      <c r="I2" s="27">
        <v>2497524000</v>
      </c>
      <c r="J2" s="27">
        <v>2709468000</v>
      </c>
      <c r="K2" s="27">
        <v>2904663000</v>
      </c>
      <c r="L2" s="27">
        <v>2884554000</v>
      </c>
      <c r="M2" s="27">
        <v>2851993000</v>
      </c>
      <c r="N2" s="27">
        <v>3035783000</v>
      </c>
      <c r="O2" s="29">
        <v>3215070000</v>
      </c>
      <c r="P2" s="27">
        <v>767999000</v>
      </c>
      <c r="Q2" s="27">
        <v>760103000</v>
      </c>
      <c r="R2" s="27">
        <v>836792000</v>
      </c>
      <c r="S2" s="27">
        <v>850176000</v>
      </c>
    </row>
    <row r="3" spans="1:19" ht="16" x14ac:dyDescent="0.2">
      <c r="A3" s="9" t="s">
        <v>191</v>
      </c>
      <c r="B3" s="10"/>
      <c r="C3" s="11">
        <f t="shared" ref="C3:O3" si="0">(C2/B2)-1</f>
        <v>0.10236622692091579</v>
      </c>
      <c r="D3" s="11">
        <f t="shared" si="0"/>
        <v>5.9577462371496637E-2</v>
      </c>
      <c r="E3" s="11">
        <f t="shared" si="0"/>
        <v>5.7004635688647554E-2</v>
      </c>
      <c r="F3" s="11">
        <f t="shared" si="0"/>
        <v>1.4586001438142704E-2</v>
      </c>
      <c r="G3" s="11">
        <f t="shared" si="0"/>
        <v>-4.6387892998940861E-2</v>
      </c>
      <c r="H3" s="11">
        <f t="shared" si="0"/>
        <v>-4.4978642123718937E-2</v>
      </c>
      <c r="I3" s="11">
        <f t="shared" si="0"/>
        <v>3.548475768645698E-2</v>
      </c>
      <c r="J3" s="11">
        <f t="shared" si="0"/>
        <v>8.4861646975164184E-2</v>
      </c>
      <c r="K3" s="11">
        <f t="shared" si="0"/>
        <v>7.2041817803347286E-2</v>
      </c>
      <c r="L3" s="11">
        <f t="shared" si="0"/>
        <v>-6.9230062144902682E-3</v>
      </c>
      <c r="M3" s="11">
        <f t="shared" si="0"/>
        <v>-1.1288053543112686E-2</v>
      </c>
      <c r="N3" s="11">
        <f t="shared" si="0"/>
        <v>6.4442654662897114E-2</v>
      </c>
      <c r="O3" s="11">
        <f t="shared" si="0"/>
        <v>5.9057910265654767E-2</v>
      </c>
      <c r="P3" s="11"/>
      <c r="Q3" s="11">
        <f>(Q2/P2)-1</f>
        <v>-1.0281263387061701E-2</v>
      </c>
      <c r="R3" s="11">
        <f>(R2/Q2)-1</f>
        <v>0.10089290530362338</v>
      </c>
      <c r="S3" s="11">
        <f>(S2/R2)-1</f>
        <v>1.5994416772626918E-2</v>
      </c>
    </row>
    <row r="4" spans="1:19" ht="16" x14ac:dyDescent="0.2">
      <c r="A4" s="3" t="s">
        <v>19</v>
      </c>
      <c r="B4" s="4">
        <v>2114252000</v>
      </c>
      <c r="C4" s="4">
        <v>2330680000</v>
      </c>
      <c r="D4" s="4">
        <v>2469536000</v>
      </c>
      <c r="E4" s="4">
        <v>2610311000</v>
      </c>
      <c r="F4" s="4">
        <v>2648385000</v>
      </c>
      <c r="G4" s="4">
        <v>2525532000</v>
      </c>
      <c r="H4" s="4">
        <v>2411937000</v>
      </c>
      <c r="I4" s="4">
        <v>2497524000</v>
      </c>
      <c r="J4" s="4">
        <v>2709468000</v>
      </c>
      <c r="K4" s="4">
        <v>2904663000</v>
      </c>
      <c r="L4" s="4">
        <v>2884554000</v>
      </c>
      <c r="M4" s="4">
        <v>2851993000</v>
      </c>
      <c r="N4" s="4">
        <v>3035783000</v>
      </c>
      <c r="O4" s="5">
        <v>3215070000</v>
      </c>
      <c r="P4" s="4">
        <v>767999000</v>
      </c>
      <c r="Q4" s="4">
        <v>760103000</v>
      </c>
      <c r="R4" s="4">
        <v>836792000</v>
      </c>
      <c r="S4" s="4">
        <v>850176000</v>
      </c>
    </row>
    <row r="5" spans="1:19" ht="16" x14ac:dyDescent="0.2">
      <c r="A5" s="3" t="s">
        <v>20</v>
      </c>
      <c r="B5" s="4">
        <v>1501641000</v>
      </c>
      <c r="C5" s="4">
        <v>1651203000</v>
      </c>
      <c r="D5" s="4">
        <v>1724232000</v>
      </c>
      <c r="E5" s="4">
        <v>1826561000</v>
      </c>
      <c r="F5" s="4">
        <v>1850809000</v>
      </c>
      <c r="G5" s="4">
        <v>1788828000</v>
      </c>
      <c r="H5" s="4">
        <v>1700354000</v>
      </c>
      <c r="I5" s="4">
        <v>1766002000</v>
      </c>
      <c r="J5" s="4">
        <v>1936481000</v>
      </c>
      <c r="K5" s="4">
        <v>2088831000</v>
      </c>
      <c r="L5" s="4">
        <v>2140858000</v>
      </c>
      <c r="M5" s="4">
        <v>2076270000</v>
      </c>
      <c r="N5" s="4">
        <v>2214982000</v>
      </c>
      <c r="O5" s="5">
        <v>2364270000</v>
      </c>
      <c r="P5" s="4">
        <v>564833000</v>
      </c>
      <c r="Q5" s="4">
        <v>556417000</v>
      </c>
      <c r="R5" s="4">
        <v>615477000</v>
      </c>
      <c r="S5" s="4">
        <v>627543000</v>
      </c>
    </row>
    <row r="6" spans="1:19" ht="16" x14ac:dyDescent="0.2">
      <c r="A6" s="3" t="s">
        <v>21</v>
      </c>
      <c r="B6" s="4">
        <v>1501641000</v>
      </c>
      <c r="C6" s="4">
        <v>1651203000</v>
      </c>
      <c r="D6" s="4">
        <v>1724232000</v>
      </c>
      <c r="E6" s="4">
        <v>1826561000</v>
      </c>
      <c r="F6" s="4">
        <v>1850809000</v>
      </c>
      <c r="G6" s="4">
        <v>1788828000</v>
      </c>
      <c r="H6" s="4">
        <v>1700354000</v>
      </c>
      <c r="I6" s="4">
        <v>1766002000</v>
      </c>
      <c r="J6" s="4">
        <v>1936481000</v>
      </c>
      <c r="K6" s="4">
        <v>2088831000</v>
      </c>
      <c r="L6" s="4">
        <v>2140858000</v>
      </c>
      <c r="M6" s="4">
        <v>2076270000</v>
      </c>
      <c r="N6" s="4">
        <v>2214982000</v>
      </c>
      <c r="O6" s="5">
        <v>2364270000</v>
      </c>
      <c r="P6" s="4">
        <v>564833000</v>
      </c>
      <c r="Q6" s="4">
        <v>556417000</v>
      </c>
      <c r="R6" s="4">
        <v>615477000</v>
      </c>
      <c r="S6" s="4">
        <v>627543000</v>
      </c>
    </row>
    <row r="7" spans="1:19" ht="16" x14ac:dyDescent="0.2">
      <c r="A7" s="34" t="s">
        <v>22</v>
      </c>
      <c r="B7" s="32">
        <v>612611000</v>
      </c>
      <c r="C7" s="32">
        <v>679477000</v>
      </c>
      <c r="D7" s="32">
        <v>745304000</v>
      </c>
      <c r="E7" s="32">
        <v>783750000</v>
      </c>
      <c r="F7" s="32">
        <v>797576000</v>
      </c>
      <c r="G7" s="32">
        <v>736704000</v>
      </c>
      <c r="H7" s="32">
        <v>711583000</v>
      </c>
      <c r="I7" s="32">
        <v>731522000</v>
      </c>
      <c r="J7" s="32">
        <v>772987000</v>
      </c>
      <c r="K7" s="32">
        <v>815832000</v>
      </c>
      <c r="L7" s="32">
        <v>743696000</v>
      </c>
      <c r="M7" s="32">
        <v>775723000</v>
      </c>
      <c r="N7" s="32">
        <v>820801000</v>
      </c>
      <c r="O7" s="33">
        <v>850800000</v>
      </c>
      <c r="P7" s="32">
        <v>203166000</v>
      </c>
      <c r="Q7" s="32">
        <v>203686000</v>
      </c>
      <c r="R7" s="32">
        <v>221315000</v>
      </c>
      <c r="S7" s="32">
        <v>222633000</v>
      </c>
    </row>
    <row r="8" spans="1:19" ht="16" x14ac:dyDescent="0.2">
      <c r="A8" s="36" t="s">
        <v>58</v>
      </c>
      <c r="B8" s="37">
        <v>28.98</v>
      </c>
      <c r="C8" s="37">
        <v>29.15</v>
      </c>
      <c r="D8" s="37">
        <v>30.18</v>
      </c>
      <c r="E8" s="37">
        <v>30.03</v>
      </c>
      <c r="F8" s="37">
        <v>30.12</v>
      </c>
      <c r="G8" s="37">
        <v>29.17</v>
      </c>
      <c r="H8" s="37">
        <v>29.5</v>
      </c>
      <c r="I8" s="37">
        <v>29.29</v>
      </c>
      <c r="J8" s="37">
        <v>28.53</v>
      </c>
      <c r="K8" s="37">
        <v>28.09</v>
      </c>
      <c r="L8" s="37">
        <v>25.78</v>
      </c>
      <c r="M8" s="37">
        <v>27.2</v>
      </c>
      <c r="N8" s="37">
        <v>27.04</v>
      </c>
      <c r="O8" s="38">
        <v>26.46</v>
      </c>
      <c r="P8" s="37">
        <v>26.45</v>
      </c>
      <c r="Q8" s="37">
        <v>26.8</v>
      </c>
      <c r="R8" s="37">
        <v>26.45</v>
      </c>
      <c r="S8" s="37">
        <v>26.19</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416008000</v>
      </c>
      <c r="C10" s="4">
        <v>460349000</v>
      </c>
      <c r="D10" s="4">
        <v>501454000</v>
      </c>
      <c r="E10" s="4">
        <v>531288000</v>
      </c>
      <c r="F10" s="4">
        <v>542949000</v>
      </c>
      <c r="G10" s="4">
        <v>503769000</v>
      </c>
      <c r="H10" s="4">
        <v>487297000</v>
      </c>
      <c r="I10" s="4">
        <v>500787000</v>
      </c>
      <c r="J10" s="4">
        <v>523945000</v>
      </c>
      <c r="K10" s="4">
        <v>531106000</v>
      </c>
      <c r="L10" s="4">
        <v>508812000</v>
      </c>
      <c r="M10" s="4">
        <v>537556000</v>
      </c>
      <c r="N10" s="4">
        <v>558058000</v>
      </c>
      <c r="O10" s="5">
        <v>565940000</v>
      </c>
      <c r="P10" s="4">
        <v>137038000</v>
      </c>
      <c r="Q10" s="4">
        <v>137027000</v>
      </c>
      <c r="R10" s="4">
        <v>143438000</v>
      </c>
      <c r="S10" s="4">
        <v>148437000</v>
      </c>
    </row>
    <row r="11" spans="1:19" ht="16" x14ac:dyDescent="0.2">
      <c r="A11" s="28" t="s">
        <v>26</v>
      </c>
      <c r="B11" s="27">
        <v>313408000</v>
      </c>
      <c r="C11" s="27">
        <v>353964000</v>
      </c>
      <c r="D11" s="27">
        <v>385051000</v>
      </c>
      <c r="E11" s="27">
        <v>396636000</v>
      </c>
      <c r="F11" s="27">
        <v>403487000</v>
      </c>
      <c r="G11" s="27">
        <v>371498000</v>
      </c>
      <c r="H11" s="27">
        <v>339961000</v>
      </c>
      <c r="I11" s="27">
        <v>356141000</v>
      </c>
      <c r="J11" s="27">
        <v>393759000</v>
      </c>
      <c r="K11" s="27">
        <v>404653000</v>
      </c>
      <c r="L11" s="27">
        <v>397947000</v>
      </c>
      <c r="M11" s="27">
        <v>412028000</v>
      </c>
      <c r="N11" s="27">
        <v>448531000</v>
      </c>
      <c r="O11" s="29">
        <v>463624000</v>
      </c>
      <c r="P11" s="27">
        <v>111829000</v>
      </c>
      <c r="Q11" s="27">
        <v>113165000</v>
      </c>
      <c r="R11" s="27">
        <v>116695000</v>
      </c>
      <c r="S11" s="27">
        <v>121935000</v>
      </c>
    </row>
    <row r="12" spans="1:19" ht="16" x14ac:dyDescent="0.2">
      <c r="A12" s="12" t="s">
        <v>192</v>
      </c>
      <c r="B12" s="11">
        <f t="shared" ref="B12:S12" si="1">B11/B2</f>
        <v>0.14823587727479978</v>
      </c>
      <c r="C12" s="11">
        <f t="shared" si="1"/>
        <v>0.15187155679887415</v>
      </c>
      <c r="D12" s="11">
        <f t="shared" si="1"/>
        <v>0.1559203834242546</v>
      </c>
      <c r="E12" s="11">
        <f t="shared" si="1"/>
        <v>0.1519497102069447</v>
      </c>
      <c r="F12" s="11">
        <f t="shared" si="1"/>
        <v>0.15235209382321679</v>
      </c>
      <c r="G12" s="11">
        <f t="shared" si="1"/>
        <v>0.14709692848873029</v>
      </c>
      <c r="H12" s="11">
        <f t="shared" si="1"/>
        <v>0.14094936973892769</v>
      </c>
      <c r="I12" s="11">
        <f t="shared" si="1"/>
        <v>0.14259762869145601</v>
      </c>
      <c r="J12" s="11">
        <f t="shared" si="1"/>
        <v>0.14532705313367791</v>
      </c>
      <c r="K12" s="11">
        <f t="shared" si="1"/>
        <v>0.13931151393466298</v>
      </c>
      <c r="L12" s="11">
        <f t="shared" si="1"/>
        <v>0.13795789574402142</v>
      </c>
      <c r="M12" s="11">
        <f t="shared" si="1"/>
        <v>0.14447020031255337</v>
      </c>
      <c r="N12" s="11">
        <f t="shared" si="1"/>
        <v>0.14774804391486479</v>
      </c>
      <c r="O12" s="11">
        <f t="shared" si="1"/>
        <v>0.14420339215009315</v>
      </c>
      <c r="P12" s="11">
        <f t="shared" si="1"/>
        <v>0.14561086668081599</v>
      </c>
      <c r="Q12" s="11">
        <f t="shared" si="1"/>
        <v>0.14888113847728532</v>
      </c>
      <c r="R12" s="11">
        <f t="shared" si="1"/>
        <v>0.13945520511668372</v>
      </c>
      <c r="S12" s="11">
        <f t="shared" si="1"/>
        <v>0.14342324412827462</v>
      </c>
    </row>
    <row r="13" spans="1:19" ht="16" x14ac:dyDescent="0.2">
      <c r="A13" s="28" t="s">
        <v>27</v>
      </c>
      <c r="B13" s="27">
        <v>102600000</v>
      </c>
      <c r="C13" s="27">
        <v>106385000</v>
      </c>
      <c r="D13" s="27">
        <v>116403000</v>
      </c>
      <c r="E13" s="27">
        <v>134652000</v>
      </c>
      <c r="F13" s="27">
        <v>139462000</v>
      </c>
      <c r="G13" s="27">
        <v>132271000</v>
      </c>
      <c r="H13" s="27">
        <v>147336000</v>
      </c>
      <c r="I13" s="27">
        <v>144646000</v>
      </c>
      <c r="J13" s="27">
        <v>130186000</v>
      </c>
      <c r="K13" s="27">
        <v>126453000</v>
      </c>
      <c r="L13" s="27">
        <v>110865000</v>
      </c>
      <c r="M13" s="27">
        <v>125528000</v>
      </c>
      <c r="N13" s="27">
        <v>109527000</v>
      </c>
      <c r="O13" s="29">
        <v>102316000</v>
      </c>
      <c r="P13" s="27">
        <v>25209000</v>
      </c>
      <c r="Q13" s="27">
        <v>23862000</v>
      </c>
      <c r="R13" s="27">
        <v>26743000</v>
      </c>
      <c r="S13" s="27">
        <v>26502000</v>
      </c>
    </row>
    <row r="14" spans="1:19" ht="16" x14ac:dyDescent="0.2">
      <c r="A14" s="12" t="s">
        <v>193</v>
      </c>
      <c r="B14" s="11">
        <f t="shared" ref="B14:S14" si="2">B13/B2</f>
        <v>4.8527800848716239E-2</v>
      </c>
      <c r="C14" s="11">
        <f t="shared" si="2"/>
        <v>4.5645476856539725E-2</v>
      </c>
      <c r="D14" s="11">
        <f t="shared" si="2"/>
        <v>4.7135575265960891E-2</v>
      </c>
      <c r="E14" s="11">
        <f t="shared" si="2"/>
        <v>5.1584657920071594E-2</v>
      </c>
      <c r="F14" s="11">
        <f t="shared" si="2"/>
        <v>5.2659262154105241E-2</v>
      </c>
      <c r="G14" s="11">
        <f t="shared" si="2"/>
        <v>5.2373519717825792E-2</v>
      </c>
      <c r="H14" s="11">
        <f t="shared" si="2"/>
        <v>6.1086172648788087E-2</v>
      </c>
      <c r="I14" s="11">
        <f t="shared" si="2"/>
        <v>5.7915759768474698E-2</v>
      </c>
      <c r="J14" s="11">
        <f t="shared" si="2"/>
        <v>4.8048546799593132E-2</v>
      </c>
      <c r="K14" s="11">
        <f t="shared" si="2"/>
        <v>4.3534482313438767E-2</v>
      </c>
      <c r="L14" s="11">
        <f t="shared" si="2"/>
        <v>3.8434017875900402E-2</v>
      </c>
      <c r="M14" s="11">
        <f t="shared" si="2"/>
        <v>4.401413327452066E-2</v>
      </c>
      <c r="N14" s="11">
        <f t="shared" si="2"/>
        <v>3.6078665701731648E-2</v>
      </c>
      <c r="O14" s="11">
        <f t="shared" si="2"/>
        <v>3.1823879417866484E-2</v>
      </c>
      <c r="P14" s="11">
        <f t="shared" si="2"/>
        <v>3.2824261489923817E-2</v>
      </c>
      <c r="Q14" s="11">
        <f t="shared" si="2"/>
        <v>3.1393113827994361E-2</v>
      </c>
      <c r="R14" s="11">
        <f t="shared" si="2"/>
        <v>3.195895754261513E-2</v>
      </c>
      <c r="S14" s="11">
        <f t="shared" si="2"/>
        <v>3.1172369015356822E-2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196603000</v>
      </c>
      <c r="C16" s="32">
        <v>219128000</v>
      </c>
      <c r="D16" s="32">
        <v>243850000</v>
      </c>
      <c r="E16" s="32">
        <v>252462000</v>
      </c>
      <c r="F16" s="32">
        <v>254627000</v>
      </c>
      <c r="G16" s="32">
        <v>232935000</v>
      </c>
      <c r="H16" s="32">
        <v>224286000</v>
      </c>
      <c r="I16" s="32">
        <v>230735000</v>
      </c>
      <c r="J16" s="32">
        <v>249042000</v>
      </c>
      <c r="K16" s="32">
        <v>284726000</v>
      </c>
      <c r="L16" s="32">
        <v>234884000</v>
      </c>
      <c r="M16" s="32">
        <v>238167000</v>
      </c>
      <c r="N16" s="32">
        <v>262743000</v>
      </c>
      <c r="O16" s="33">
        <v>284860000</v>
      </c>
      <c r="P16" s="32">
        <v>66128000</v>
      </c>
      <c r="Q16" s="32">
        <v>66659000</v>
      </c>
      <c r="R16" s="32">
        <v>77877000</v>
      </c>
      <c r="S16" s="32">
        <v>74196000</v>
      </c>
    </row>
    <row r="17" spans="1:19" ht="16" x14ac:dyDescent="0.2">
      <c r="A17" s="28" t="s">
        <v>59</v>
      </c>
      <c r="B17" s="31">
        <v>9.3000000000000007</v>
      </c>
      <c r="C17" s="31">
        <v>9.4</v>
      </c>
      <c r="D17" s="31">
        <v>9.8699999999999992</v>
      </c>
      <c r="E17" s="31">
        <v>9.67</v>
      </c>
      <c r="F17" s="31">
        <v>9.61</v>
      </c>
      <c r="G17" s="31">
        <v>9.2200000000000006</v>
      </c>
      <c r="H17" s="31">
        <v>9.3000000000000007</v>
      </c>
      <c r="I17" s="31">
        <v>9.24</v>
      </c>
      <c r="J17" s="31">
        <v>9.19</v>
      </c>
      <c r="K17" s="31">
        <v>9.8000000000000007</v>
      </c>
      <c r="L17" s="31">
        <v>8.14</v>
      </c>
      <c r="M17" s="31">
        <v>8.35</v>
      </c>
      <c r="N17" s="31">
        <v>8.65</v>
      </c>
      <c r="O17" s="35">
        <v>8.86</v>
      </c>
      <c r="P17" s="31">
        <v>8.61</v>
      </c>
      <c r="Q17" s="31">
        <v>8.77</v>
      </c>
      <c r="R17" s="31">
        <v>9.31</v>
      </c>
      <c r="S17" s="31">
        <v>8.73</v>
      </c>
    </row>
    <row r="18" spans="1:19" ht="16" x14ac:dyDescent="0.2">
      <c r="A18" s="13" t="s">
        <v>194</v>
      </c>
      <c r="B18" s="10"/>
      <c r="C18" s="11">
        <f>(C16/B16)-1</f>
        <v>0.11457098823517442</v>
      </c>
      <c r="D18" s="11">
        <f>(D16/C16)-1</f>
        <v>0.11281990434814348</v>
      </c>
      <c r="E18" s="11">
        <f>(E16/D16)-1</f>
        <v>3.5316793110518718E-2</v>
      </c>
      <c r="F18" s="11">
        <f t="shared" ref="F18:N18" si="3">(F16/E16)-1</f>
        <v>8.5755480032638776E-3</v>
      </c>
      <c r="G18" s="11">
        <f t="shared" si="3"/>
        <v>-8.5191279793580432E-2</v>
      </c>
      <c r="H18" s="11">
        <f t="shared" si="3"/>
        <v>-3.713052997617361E-2</v>
      </c>
      <c r="I18" s="11">
        <f t="shared" si="3"/>
        <v>2.8753466556093565E-2</v>
      </c>
      <c r="J18" s="11">
        <f t="shared" si="3"/>
        <v>7.9342102411857685E-2</v>
      </c>
      <c r="K18" s="11">
        <f t="shared" si="3"/>
        <v>0.14328506838203992</v>
      </c>
      <c r="L18" s="11">
        <f t="shared" si="3"/>
        <v>-0.17505250662039995</v>
      </c>
      <c r="M18" s="11">
        <f t="shared" si="3"/>
        <v>1.3977112106401401E-2</v>
      </c>
      <c r="N18" s="11">
        <f t="shared" si="3"/>
        <v>0.10318809910692917</v>
      </c>
      <c r="O18" s="11">
        <f>(O16/N16)-1</f>
        <v>8.4177313953178512E-2</v>
      </c>
      <c r="P18" s="11"/>
      <c r="Q18" s="11">
        <f>(Q16/P16)-1</f>
        <v>8.0298814420518561E-3</v>
      </c>
      <c r="R18" s="11">
        <f>(R16/Q16)-1</f>
        <v>0.16828935327562666</v>
      </c>
      <c r="S18" s="11">
        <f>(S16/R16)-1</f>
        <v>-4.7266843869178343E-2</v>
      </c>
    </row>
    <row r="19" spans="1:19" ht="16" x14ac:dyDescent="0.2">
      <c r="A19" s="3" t="s">
        <v>30</v>
      </c>
      <c r="B19" s="4">
        <v>47167000</v>
      </c>
      <c r="C19" s="4">
        <v>35343000</v>
      </c>
      <c r="D19" s="4">
        <v>35009000</v>
      </c>
      <c r="E19" s="4">
        <v>87456000</v>
      </c>
      <c r="F19" s="4">
        <v>35704000</v>
      </c>
      <c r="G19" s="4">
        <v>49101000</v>
      </c>
      <c r="H19" s="4">
        <v>51426000</v>
      </c>
      <c r="I19" s="4">
        <v>49024000</v>
      </c>
      <c r="J19" s="4">
        <v>65205000</v>
      </c>
      <c r="K19" s="4">
        <v>50968000</v>
      </c>
      <c r="L19" s="4">
        <v>229467000</v>
      </c>
      <c r="M19" s="4">
        <v>34393000</v>
      </c>
      <c r="N19" s="4">
        <v>59764000</v>
      </c>
      <c r="O19" s="5">
        <v>74883000</v>
      </c>
      <c r="P19" s="4">
        <v>23094000</v>
      </c>
      <c r="Q19" s="4">
        <v>6358000</v>
      </c>
      <c r="R19" s="4">
        <v>21573000</v>
      </c>
      <c r="S19" s="4">
        <v>23858000</v>
      </c>
    </row>
    <row r="20" spans="1:19" ht="16" x14ac:dyDescent="0.2">
      <c r="A20" s="3" t="s">
        <v>31</v>
      </c>
      <c r="B20" s="4">
        <v>38742000</v>
      </c>
      <c r="C20" s="4">
        <v>35666000</v>
      </c>
      <c r="D20" s="4">
        <v>34312000</v>
      </c>
      <c r="E20" s="4">
        <v>26962000</v>
      </c>
      <c r="F20" s="4">
        <v>12513000</v>
      </c>
      <c r="G20" s="4">
        <v>28967000</v>
      </c>
      <c r="H20" s="4">
        <v>34605000</v>
      </c>
      <c r="I20" s="4">
        <v>34551000</v>
      </c>
      <c r="J20" s="4">
        <v>36238000</v>
      </c>
      <c r="K20" s="4">
        <v>39269000</v>
      </c>
      <c r="L20" s="4">
        <v>38897000</v>
      </c>
      <c r="M20" s="4">
        <v>33892000</v>
      </c>
      <c r="N20" s="4">
        <v>36757000</v>
      </c>
      <c r="O20" s="5">
        <v>56732000</v>
      </c>
      <c r="P20" s="4">
        <v>11381000</v>
      </c>
      <c r="Q20" s="4">
        <v>13132000</v>
      </c>
      <c r="R20" s="4">
        <v>14963000</v>
      </c>
      <c r="S20" s="4">
        <v>17256000</v>
      </c>
    </row>
    <row r="21" spans="1:19" ht="16" x14ac:dyDescent="0.2">
      <c r="A21" s="3" t="s">
        <v>32</v>
      </c>
      <c r="B21" s="4">
        <v>38742000</v>
      </c>
      <c r="C21" s="4">
        <v>35666000</v>
      </c>
      <c r="D21" s="4">
        <v>34312000</v>
      </c>
      <c r="E21" s="4">
        <v>26962000</v>
      </c>
      <c r="F21" s="4">
        <v>12513000</v>
      </c>
      <c r="G21" s="4">
        <v>28967000</v>
      </c>
      <c r="H21" s="4">
        <v>34605000</v>
      </c>
      <c r="I21" s="4">
        <v>34551000</v>
      </c>
      <c r="J21" s="4">
        <v>36238000</v>
      </c>
      <c r="K21" s="4">
        <v>39269000</v>
      </c>
      <c r="L21" s="4">
        <v>38897000</v>
      </c>
      <c r="M21" s="4">
        <v>33892000</v>
      </c>
      <c r="N21" s="4">
        <v>36757000</v>
      </c>
      <c r="O21" s="5">
        <v>56732000</v>
      </c>
      <c r="P21" s="4">
        <v>11381000</v>
      </c>
      <c r="Q21" s="4">
        <v>13132000</v>
      </c>
      <c r="R21" s="4">
        <v>14963000</v>
      </c>
      <c r="S21" s="4">
        <v>17256000</v>
      </c>
    </row>
    <row r="22" spans="1:19"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19" ht="16" x14ac:dyDescent="0.2">
      <c r="A23" s="3" t="s">
        <v>34</v>
      </c>
      <c r="B23" s="4">
        <v>8425000</v>
      </c>
      <c r="C23" s="4">
        <v>-323000</v>
      </c>
      <c r="D23" s="4">
        <v>697000</v>
      </c>
      <c r="E23" s="4">
        <v>60494000</v>
      </c>
      <c r="F23" s="4">
        <v>23191000</v>
      </c>
      <c r="G23" s="4">
        <v>20134000</v>
      </c>
      <c r="H23" s="4">
        <v>16821000</v>
      </c>
      <c r="I23" s="4">
        <v>14473000</v>
      </c>
      <c r="J23" s="4">
        <v>28967000</v>
      </c>
      <c r="K23" s="4">
        <v>11699000</v>
      </c>
      <c r="L23" s="4">
        <v>190570000</v>
      </c>
      <c r="M23" s="4">
        <v>501000</v>
      </c>
      <c r="N23" s="4">
        <v>23007000</v>
      </c>
      <c r="O23" s="5">
        <v>18151000</v>
      </c>
      <c r="P23" s="4">
        <v>11713000</v>
      </c>
      <c r="Q23" s="4">
        <v>-6774000</v>
      </c>
      <c r="R23" s="4">
        <v>6610000</v>
      </c>
      <c r="S23" s="4">
        <v>6602000</v>
      </c>
    </row>
    <row r="24" spans="1:19" ht="16" x14ac:dyDescent="0.2">
      <c r="A24" s="3" t="s">
        <v>35</v>
      </c>
      <c r="B24" s="4">
        <v>149436000</v>
      </c>
      <c r="C24" s="4">
        <v>183785000</v>
      </c>
      <c r="D24" s="4">
        <v>208841000</v>
      </c>
      <c r="E24" s="4">
        <v>165006000</v>
      </c>
      <c r="F24" s="4">
        <v>218923000</v>
      </c>
      <c r="G24" s="4">
        <v>183834000</v>
      </c>
      <c r="H24" s="4">
        <v>172860000</v>
      </c>
      <c r="I24" s="4">
        <v>181711000</v>
      </c>
      <c r="J24" s="4">
        <v>183837000</v>
      </c>
      <c r="K24" s="4">
        <v>233758000</v>
      </c>
      <c r="L24" s="4">
        <v>5417000</v>
      </c>
      <c r="M24" s="4">
        <v>203774000</v>
      </c>
      <c r="N24" s="4">
        <v>202979000</v>
      </c>
      <c r="O24" s="5">
        <v>209977000</v>
      </c>
      <c r="P24" s="4">
        <v>43034000</v>
      </c>
      <c r="Q24" s="4">
        <v>60301000</v>
      </c>
      <c r="R24" s="4">
        <v>56304000</v>
      </c>
      <c r="S24" s="4">
        <v>50338000</v>
      </c>
    </row>
    <row r="25" spans="1:19" ht="16" x14ac:dyDescent="0.2">
      <c r="A25" s="3" t="s">
        <v>36</v>
      </c>
      <c r="B25" s="4">
        <v>41342000</v>
      </c>
      <c r="C25" s="4">
        <v>47764000</v>
      </c>
      <c r="D25" s="4">
        <v>56379000</v>
      </c>
      <c r="E25" s="4">
        <v>44509000</v>
      </c>
      <c r="F25" s="4">
        <v>60725000</v>
      </c>
      <c r="G25" s="4">
        <v>51951000</v>
      </c>
      <c r="H25" s="4">
        <v>49227000</v>
      </c>
      <c r="I25" s="4">
        <v>41301000</v>
      </c>
      <c r="J25" s="4">
        <v>87209000</v>
      </c>
      <c r="K25" s="4">
        <v>54010000</v>
      </c>
      <c r="L25" s="4">
        <v>-3788000</v>
      </c>
      <c r="M25" s="4">
        <v>46554000</v>
      </c>
      <c r="N25" s="4">
        <v>47802000</v>
      </c>
      <c r="O25" s="5">
        <v>49145000</v>
      </c>
      <c r="P25" s="4">
        <v>13618000</v>
      </c>
      <c r="Q25" s="4">
        <v>14285000</v>
      </c>
      <c r="R25" s="4">
        <v>13291000</v>
      </c>
      <c r="S25" s="4">
        <v>7951000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108094000</v>
      </c>
      <c r="C27" s="4">
        <v>136021000</v>
      </c>
      <c r="D27" s="4">
        <v>152462000</v>
      </c>
      <c r="E27" s="4">
        <v>120497000</v>
      </c>
      <c r="F27" s="4">
        <v>158198000</v>
      </c>
      <c r="G27" s="4">
        <v>131883000</v>
      </c>
      <c r="H27" s="4">
        <v>123633000</v>
      </c>
      <c r="I27" s="4">
        <v>140410000</v>
      </c>
      <c r="J27" s="4">
        <v>96628000</v>
      </c>
      <c r="K27" s="4">
        <v>179748000</v>
      </c>
      <c r="L27" s="4">
        <v>9205000</v>
      </c>
      <c r="M27" s="4">
        <v>157220000</v>
      </c>
      <c r="N27" s="4">
        <v>155177000</v>
      </c>
      <c r="O27" s="5">
        <v>160832000</v>
      </c>
      <c r="P27" s="4">
        <v>29416000</v>
      </c>
      <c r="Q27" s="4">
        <v>46016000</v>
      </c>
      <c r="R27" s="4">
        <v>43013000</v>
      </c>
      <c r="S27" s="4">
        <v>42387000</v>
      </c>
    </row>
    <row r="28" spans="1:19" ht="16" x14ac:dyDescent="0.2">
      <c r="A28" s="3" t="s">
        <v>39</v>
      </c>
      <c r="B28" s="4" t="s">
        <v>24</v>
      </c>
      <c r="C28" s="4" t="s">
        <v>24</v>
      </c>
      <c r="D28" s="4" t="s">
        <v>24</v>
      </c>
      <c r="E28" s="4" t="s">
        <v>24</v>
      </c>
      <c r="F28" s="4" t="s">
        <v>24</v>
      </c>
      <c r="G28" s="4" t="s">
        <v>24</v>
      </c>
      <c r="H28" s="4">
        <v>-6224000</v>
      </c>
      <c r="I28" s="4">
        <v>-1740000</v>
      </c>
      <c r="J28" s="4">
        <v>242000</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-6224000</v>
      </c>
      <c r="I30" s="4">
        <v>-1740000</v>
      </c>
      <c r="J30" s="4">
        <v>242000</v>
      </c>
      <c r="K30" s="4" t="s">
        <v>24</v>
      </c>
      <c r="L30" s="4" t="s">
        <v>24</v>
      </c>
      <c r="M30" s="4" t="s">
        <v>24</v>
      </c>
      <c r="N30" s="4" t="s">
        <v>24</v>
      </c>
      <c r="O30" s="5" t="s">
        <v>24</v>
      </c>
      <c r="P30" s="4" t="s">
        <v>24</v>
      </c>
      <c r="Q30" s="4" t="s">
        <v>24</v>
      </c>
      <c r="R30" s="4" t="s">
        <v>24</v>
      </c>
      <c r="S30" s="4" t="s">
        <v>24</v>
      </c>
    </row>
    <row r="31" spans="1:19" ht="16" x14ac:dyDescent="0.2">
      <c r="A31" s="3" t="s">
        <v>42</v>
      </c>
      <c r="B31" s="4">
        <v>108094000</v>
      </c>
      <c r="C31" s="4">
        <v>136021000</v>
      </c>
      <c r="D31" s="4">
        <v>152462000</v>
      </c>
      <c r="E31" s="4">
        <v>120497000</v>
      </c>
      <c r="F31" s="4">
        <v>158198000</v>
      </c>
      <c r="G31" s="4">
        <v>131883000</v>
      </c>
      <c r="H31" s="4">
        <v>129857000</v>
      </c>
      <c r="I31" s="4">
        <v>142150000</v>
      </c>
      <c r="J31" s="4">
        <v>96386000</v>
      </c>
      <c r="K31" s="4">
        <v>179748000</v>
      </c>
      <c r="L31" s="4">
        <v>9205000</v>
      </c>
      <c r="M31" s="4">
        <v>157220000</v>
      </c>
      <c r="N31" s="4">
        <v>155177000</v>
      </c>
      <c r="O31" s="5">
        <v>160832000</v>
      </c>
      <c r="P31" s="4">
        <v>29416000</v>
      </c>
      <c r="Q31" s="4">
        <v>46016000</v>
      </c>
      <c r="R31" s="4">
        <v>43013000</v>
      </c>
      <c r="S31" s="4">
        <v>42387000</v>
      </c>
    </row>
    <row r="32" spans="1:19" ht="16" x14ac:dyDescent="0.2">
      <c r="A32" s="3" t="s">
        <v>43</v>
      </c>
      <c r="B32" s="4" t="s">
        <v>24</v>
      </c>
      <c r="C32" s="4" t="s">
        <v>24</v>
      </c>
      <c r="D32" s="4" t="s">
        <v>24</v>
      </c>
      <c r="E32" s="4" t="s">
        <v>24</v>
      </c>
      <c r="F32" s="4" t="s">
        <v>24</v>
      </c>
      <c r="G32" s="4" t="s">
        <v>24</v>
      </c>
      <c r="H32" s="4">
        <v>3112000</v>
      </c>
      <c r="I32" s="4">
        <v>870000</v>
      </c>
      <c r="J32" s="4">
        <v>-121000</v>
      </c>
      <c r="K32" s="4" t="s">
        <v>24</v>
      </c>
      <c r="L32" s="4" t="s">
        <v>24</v>
      </c>
      <c r="M32" s="4" t="s">
        <v>24</v>
      </c>
      <c r="N32" s="4" t="s">
        <v>24</v>
      </c>
      <c r="O32" s="5" t="s">
        <v>24</v>
      </c>
      <c r="P32" s="4" t="s">
        <v>24</v>
      </c>
      <c r="Q32" s="4" t="s">
        <v>24</v>
      </c>
      <c r="R32" s="4" t="s">
        <v>24</v>
      </c>
      <c r="S32" s="4" t="s">
        <v>24</v>
      </c>
    </row>
    <row r="33" spans="1:19" ht="16" x14ac:dyDescent="0.2">
      <c r="A33" s="34" t="s">
        <v>44</v>
      </c>
      <c r="B33" s="32">
        <v>108094000</v>
      </c>
      <c r="C33" s="32">
        <v>136021000</v>
      </c>
      <c r="D33" s="32">
        <v>152462000</v>
      </c>
      <c r="E33" s="32">
        <v>120497000</v>
      </c>
      <c r="F33" s="32">
        <v>158198000</v>
      </c>
      <c r="G33" s="32">
        <v>131883000</v>
      </c>
      <c r="H33" s="32">
        <v>126745000</v>
      </c>
      <c r="I33" s="32">
        <v>141280000</v>
      </c>
      <c r="J33" s="32">
        <v>96507000</v>
      </c>
      <c r="K33" s="32">
        <v>179748000</v>
      </c>
      <c r="L33" s="32">
        <v>9205000</v>
      </c>
      <c r="M33" s="32">
        <v>157220000</v>
      </c>
      <c r="N33" s="32">
        <v>155177000</v>
      </c>
      <c r="O33" s="33">
        <v>160832000</v>
      </c>
      <c r="P33" s="32">
        <v>29416000</v>
      </c>
      <c r="Q33" s="32">
        <v>46016000</v>
      </c>
      <c r="R33" s="32">
        <v>43013000</v>
      </c>
      <c r="S33" s="32">
        <v>42387000</v>
      </c>
    </row>
    <row r="34" spans="1:19" ht="16" x14ac:dyDescent="0.2">
      <c r="A34" s="28" t="s">
        <v>60</v>
      </c>
      <c r="B34" s="31">
        <v>5.1100000000000003</v>
      </c>
      <c r="C34" s="31">
        <v>5.84</v>
      </c>
      <c r="D34" s="31">
        <v>6.17</v>
      </c>
      <c r="E34" s="31">
        <v>4.62</v>
      </c>
      <c r="F34" s="31">
        <v>5.97</v>
      </c>
      <c r="G34" s="31">
        <v>5.22</v>
      </c>
      <c r="H34" s="31">
        <v>5.25</v>
      </c>
      <c r="I34" s="31">
        <v>5.66</v>
      </c>
      <c r="J34" s="31">
        <v>3.56</v>
      </c>
      <c r="K34" s="31">
        <v>6.19</v>
      </c>
      <c r="L34" s="31">
        <v>0.32</v>
      </c>
      <c r="M34" s="31">
        <v>5.51</v>
      </c>
      <c r="N34" s="31">
        <v>5.1100000000000003</v>
      </c>
      <c r="O34" s="29">
        <v>5</v>
      </c>
      <c r="P34" s="31">
        <v>3.83</v>
      </c>
      <c r="Q34" s="31">
        <v>6.05</v>
      </c>
      <c r="R34" s="31">
        <v>5.14</v>
      </c>
      <c r="S34" s="31">
        <v>4.99</v>
      </c>
    </row>
    <row r="35" spans="1:19" ht="16" x14ac:dyDescent="0.2">
      <c r="A35" s="14" t="s">
        <v>195</v>
      </c>
      <c r="B35" s="15"/>
      <c r="C35" s="16">
        <f>(C33/B33)-1</f>
        <v>0.25835846577978416</v>
      </c>
      <c r="D35" s="16">
        <f>(D33/C33)-1</f>
        <v>0.12087104197146026</v>
      </c>
      <c r="E35" s="16">
        <f>(E33/D33)-1</f>
        <v>-0.20965880022562999</v>
      </c>
      <c r="F35" s="16">
        <f t="shared" ref="F35:N35" si="4">(F33/E33)-1</f>
        <v>0.31287915881723194</v>
      </c>
      <c r="G35" s="16">
        <f t="shared" si="4"/>
        <v>-0.16634217878860669</v>
      </c>
      <c r="H35" s="16">
        <f t="shared" si="4"/>
        <v>-3.89587740648909E-2</v>
      </c>
      <c r="I35" s="16">
        <f t="shared" si="4"/>
        <v>0.11467908004260519</v>
      </c>
      <c r="J35" s="16">
        <f t="shared" si="4"/>
        <v>-0.31690968289920729</v>
      </c>
      <c r="K35" s="16">
        <f t="shared" si="4"/>
        <v>0.86253846871211404</v>
      </c>
      <c r="L35" s="16">
        <f t="shared" si="4"/>
        <v>-0.94878941629392255</v>
      </c>
      <c r="M35" s="16">
        <f t="shared" si="4"/>
        <v>16.079847908745247</v>
      </c>
      <c r="N35" s="16">
        <f t="shared" si="4"/>
        <v>-1.299452995802064E-2</v>
      </c>
      <c r="O35" s="16">
        <f>(O33/N33)-1</f>
        <v>3.6442256262203765E-2</v>
      </c>
      <c r="P35" s="16"/>
      <c r="Q35" s="16">
        <f>(Q33/P33)-1</f>
        <v>0.5643187381017134</v>
      </c>
      <c r="R35" s="16">
        <f>(R33/Q33)-1</f>
        <v>-6.5259909596662058E-2</v>
      </c>
      <c r="S35" s="16">
        <f>(S33/R33)-1</f>
        <v>-1.4553739567107593E-2</v>
      </c>
    </row>
    <row r="36" spans="1:19" ht="16" x14ac:dyDescent="0.2">
      <c r="A36" s="17" t="s">
        <v>196</v>
      </c>
      <c r="B36" s="18">
        <f t="shared" ref="B36:S36" si="5">(B16*(1-0.25))/(B126+B105+B96)</f>
        <v>7.8196128488941877E-2</v>
      </c>
      <c r="C36" s="18">
        <f t="shared" si="5"/>
        <v>8.5715716269118961E-2</v>
      </c>
      <c r="D36" s="18">
        <f t="shared" si="5"/>
        <v>8.8376553339789277E-2</v>
      </c>
      <c r="E36" s="18">
        <f t="shared" si="5"/>
        <v>8.4344355839534743E-2</v>
      </c>
      <c r="F36" s="18">
        <f t="shared" si="5"/>
        <v>8.5966447155485307E-2</v>
      </c>
      <c r="G36" s="18">
        <f t="shared" si="5"/>
        <v>8.4408319788801936E-2</v>
      </c>
      <c r="H36" s="18">
        <f t="shared" si="5"/>
        <v>8.4096275436055593E-2</v>
      </c>
      <c r="I36" s="18">
        <f t="shared" si="5"/>
        <v>7.9697868736416808E-2</v>
      </c>
      <c r="J36" s="18">
        <f t="shared" si="5"/>
        <v>8.9462882158817134E-2</v>
      </c>
      <c r="K36" s="18">
        <f t="shared" si="5"/>
        <v>9.9059754679887965E-2</v>
      </c>
      <c r="L36" s="18">
        <f t="shared" si="5"/>
        <v>8.1053549368160241E-2</v>
      </c>
      <c r="M36" s="18">
        <f t="shared" si="5"/>
        <v>7.75328969071091E-2</v>
      </c>
      <c r="N36" s="18">
        <f t="shared" si="5"/>
        <v>8.6633765658240713E-2</v>
      </c>
      <c r="O36" s="18">
        <f t="shared" si="5"/>
        <v>8.1111710124679187E-2</v>
      </c>
      <c r="P36" s="18">
        <f t="shared" si="5"/>
        <v>2.1804263692841074E-2</v>
      </c>
      <c r="Q36" s="18">
        <f t="shared" si="5"/>
        <v>2.0472154462972056E-2</v>
      </c>
      <c r="R36" s="18">
        <f t="shared" si="5"/>
        <v>2.3004967862306755E-2</v>
      </c>
      <c r="S36" s="18">
        <f t="shared" si="5"/>
        <v>2.1126744521556894E-2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108094000</v>
      </c>
      <c r="C39" s="4">
        <v>136021000</v>
      </c>
      <c r="D39" s="4">
        <v>152462000</v>
      </c>
      <c r="E39" s="4">
        <v>120497000</v>
      </c>
      <c r="F39" s="4">
        <v>158198000</v>
      </c>
      <c r="G39" s="4">
        <v>131883000</v>
      </c>
      <c r="H39" s="4">
        <v>126745000</v>
      </c>
      <c r="I39" s="4">
        <v>141280000</v>
      </c>
      <c r="J39" s="4">
        <v>96507000</v>
      </c>
      <c r="K39" s="4">
        <v>179748000</v>
      </c>
      <c r="L39" s="4">
        <v>9205000</v>
      </c>
      <c r="M39" s="4">
        <v>157220000</v>
      </c>
      <c r="N39" s="4">
        <v>155177000</v>
      </c>
      <c r="O39" s="5">
        <v>160832000</v>
      </c>
      <c r="P39" s="4">
        <v>29416000</v>
      </c>
      <c r="Q39" s="4">
        <v>46016000</v>
      </c>
      <c r="R39" s="4">
        <v>43013000</v>
      </c>
      <c r="S39" s="4">
        <v>42387000</v>
      </c>
    </row>
    <row r="40" spans="1:19" ht="16" x14ac:dyDescent="0.2">
      <c r="A40" s="3" t="s">
        <v>48</v>
      </c>
      <c r="B40" s="4">
        <v>45364000</v>
      </c>
      <c r="C40" s="4">
        <v>45502000</v>
      </c>
      <c r="D40" s="4">
        <v>45247000</v>
      </c>
      <c r="E40" s="4">
        <v>45335000</v>
      </c>
      <c r="F40" s="4">
        <v>44362000</v>
      </c>
      <c r="G40" s="4">
        <v>38946000</v>
      </c>
      <c r="H40" s="4">
        <v>36277000</v>
      </c>
      <c r="I40" s="4">
        <v>35852000</v>
      </c>
      <c r="J40" s="4">
        <v>35662000</v>
      </c>
      <c r="K40" s="4">
        <v>34855000</v>
      </c>
      <c r="L40" s="4">
        <v>33258000</v>
      </c>
      <c r="M40" s="4">
        <v>32113000</v>
      </c>
      <c r="N40" s="4">
        <v>31977000</v>
      </c>
      <c r="O40" s="5">
        <v>31844500</v>
      </c>
      <c r="P40" s="4">
        <v>31945000</v>
      </c>
      <c r="Q40" s="4">
        <v>31746000</v>
      </c>
      <c r="R40" s="4">
        <v>31848000</v>
      </c>
      <c r="S40" s="4">
        <v>31839000</v>
      </c>
    </row>
    <row r="41" spans="1:19" ht="16" x14ac:dyDescent="0.2">
      <c r="A41" s="3" t="s">
        <v>49</v>
      </c>
      <c r="B41" s="6">
        <v>2.38</v>
      </c>
      <c r="C41" s="6">
        <v>2.99</v>
      </c>
      <c r="D41" s="6">
        <v>3.37</v>
      </c>
      <c r="E41" s="6">
        <v>2.66</v>
      </c>
      <c r="F41" s="6">
        <v>3.57</v>
      </c>
      <c r="G41" s="6">
        <v>3.39</v>
      </c>
      <c r="H41" s="6">
        <v>3.49</v>
      </c>
      <c r="I41" s="6">
        <v>3.94</v>
      </c>
      <c r="J41" s="6">
        <v>2.71</v>
      </c>
      <c r="K41" s="6">
        <v>5.16</v>
      </c>
      <c r="L41" s="6">
        <v>0.28000000000000003</v>
      </c>
      <c r="M41" s="6">
        <v>4.9000000000000004</v>
      </c>
      <c r="N41" s="6">
        <v>4.8499999999999996</v>
      </c>
      <c r="O41" s="7">
        <v>5.05</v>
      </c>
      <c r="P41" s="6">
        <v>0.92</v>
      </c>
      <c r="Q41" s="6">
        <v>1.45</v>
      </c>
      <c r="R41" s="6">
        <v>1.35</v>
      </c>
      <c r="S41" s="6">
        <v>1.33</v>
      </c>
    </row>
    <row r="42" spans="1:19" ht="16" x14ac:dyDescent="0.2">
      <c r="A42" s="3" t="s">
        <v>50</v>
      </c>
      <c r="B42" s="6">
        <v>2.38</v>
      </c>
      <c r="C42" s="6">
        <v>2.99</v>
      </c>
      <c r="D42" s="6">
        <v>3.37</v>
      </c>
      <c r="E42" s="6">
        <v>2.66</v>
      </c>
      <c r="F42" s="6">
        <v>3.57</v>
      </c>
      <c r="G42" s="6">
        <v>3.39</v>
      </c>
      <c r="H42" s="6">
        <v>3.41</v>
      </c>
      <c r="I42" s="6">
        <v>3.92</v>
      </c>
      <c r="J42" s="6">
        <v>2.71</v>
      </c>
      <c r="K42" s="6">
        <v>5.16</v>
      </c>
      <c r="L42" s="6">
        <v>0.28000000000000003</v>
      </c>
      <c r="M42" s="6">
        <v>4.9000000000000004</v>
      </c>
      <c r="N42" s="6">
        <v>4.8499999999999996</v>
      </c>
      <c r="O42" s="7">
        <v>5.05</v>
      </c>
      <c r="P42" s="6">
        <v>0.92</v>
      </c>
      <c r="Q42" s="6">
        <v>1.45</v>
      </c>
      <c r="R42" s="6">
        <v>1.35</v>
      </c>
      <c r="S42" s="6">
        <v>1.33</v>
      </c>
    </row>
    <row r="43" spans="1:19" ht="16" x14ac:dyDescent="0.2">
      <c r="A43" s="3" t="s">
        <v>51</v>
      </c>
      <c r="B43" s="4">
        <v>45709000</v>
      </c>
      <c r="C43" s="4">
        <v>46047000</v>
      </c>
      <c r="D43" s="4">
        <v>45718000</v>
      </c>
      <c r="E43" s="4">
        <v>45824000</v>
      </c>
      <c r="F43" s="4">
        <v>44952000</v>
      </c>
      <c r="G43" s="4">
        <v>39335000</v>
      </c>
      <c r="H43" s="4">
        <v>36529000</v>
      </c>
      <c r="I43" s="4">
        <v>36230000</v>
      </c>
      <c r="J43" s="4">
        <v>36052000</v>
      </c>
      <c r="K43" s="4">
        <v>35179000</v>
      </c>
      <c r="L43" s="4">
        <v>33438000</v>
      </c>
      <c r="M43" s="4">
        <v>32298000</v>
      </c>
      <c r="N43" s="4">
        <v>32117000</v>
      </c>
      <c r="O43" s="5">
        <v>32019500</v>
      </c>
      <c r="P43" s="4">
        <v>32092000</v>
      </c>
      <c r="Q43" s="4">
        <v>31875000</v>
      </c>
      <c r="R43" s="4">
        <v>32044000</v>
      </c>
      <c r="S43" s="4">
        <v>32067000</v>
      </c>
    </row>
    <row r="44" spans="1:19" ht="16" x14ac:dyDescent="0.2">
      <c r="A44" s="3" t="s">
        <v>52</v>
      </c>
      <c r="B44" s="6">
        <v>2.36</v>
      </c>
      <c r="C44" s="6">
        <v>2.95</v>
      </c>
      <c r="D44" s="6">
        <v>3.33</v>
      </c>
      <c r="E44" s="6">
        <v>2.63</v>
      </c>
      <c r="F44" s="6">
        <v>3.52</v>
      </c>
      <c r="G44" s="6">
        <v>3.35</v>
      </c>
      <c r="H44" s="6">
        <v>3.47</v>
      </c>
      <c r="I44" s="6">
        <v>3.9</v>
      </c>
      <c r="J44" s="6">
        <v>2.68</v>
      </c>
      <c r="K44" s="6">
        <v>5.1100000000000003</v>
      </c>
      <c r="L44" s="6">
        <v>0.28000000000000003</v>
      </c>
      <c r="M44" s="6">
        <v>4.87</v>
      </c>
      <c r="N44" s="6">
        <v>4.83</v>
      </c>
      <c r="O44" s="7">
        <v>5.0199999999999996</v>
      </c>
      <c r="P44" s="6">
        <v>0.92</v>
      </c>
      <c r="Q44" s="6">
        <v>1.44</v>
      </c>
      <c r="R44" s="6">
        <v>1.34</v>
      </c>
      <c r="S44" s="6">
        <v>1.32</v>
      </c>
    </row>
    <row r="45" spans="1:19" ht="16" x14ac:dyDescent="0.2">
      <c r="A45" s="3" t="s">
        <v>53</v>
      </c>
      <c r="B45" s="6">
        <v>2.36</v>
      </c>
      <c r="C45" s="6">
        <v>2.95</v>
      </c>
      <c r="D45" s="6">
        <v>3.33</v>
      </c>
      <c r="E45" s="6">
        <v>2.63</v>
      </c>
      <c r="F45" s="6">
        <v>3.52</v>
      </c>
      <c r="G45" s="6">
        <v>3.35</v>
      </c>
      <c r="H45" s="6">
        <v>3.38</v>
      </c>
      <c r="I45" s="6">
        <v>3.88</v>
      </c>
      <c r="J45" s="6">
        <v>2.68</v>
      </c>
      <c r="K45" s="6">
        <v>5.1100000000000003</v>
      </c>
      <c r="L45" s="6">
        <v>0.28000000000000003</v>
      </c>
      <c r="M45" s="6">
        <v>4.87</v>
      </c>
      <c r="N45" s="6">
        <v>4.83</v>
      </c>
      <c r="O45" s="7">
        <v>5.0199999999999996</v>
      </c>
      <c r="P45" s="6">
        <v>0.92</v>
      </c>
      <c r="Q45" s="6">
        <v>1.44</v>
      </c>
      <c r="R45" s="6">
        <v>1.34</v>
      </c>
      <c r="S45" s="6">
        <v>1.32</v>
      </c>
    </row>
    <row r="46" spans="1:19" ht="16" x14ac:dyDescent="0.2">
      <c r="A46" s="3" t="s">
        <v>54</v>
      </c>
      <c r="B46" s="4">
        <v>287819000</v>
      </c>
      <c r="C46" s="4">
        <v>315455000</v>
      </c>
      <c r="D46" s="4">
        <v>344666000</v>
      </c>
      <c r="E46" s="4">
        <v>360535000</v>
      </c>
      <c r="F46" s="4">
        <v>363886000</v>
      </c>
      <c r="G46" s="4">
        <v>336544000</v>
      </c>
      <c r="H46" s="4">
        <v>323018000</v>
      </c>
      <c r="I46" s="4">
        <v>320902000</v>
      </c>
      <c r="J46" s="4">
        <v>337614000</v>
      </c>
      <c r="K46" s="4">
        <v>369986000</v>
      </c>
      <c r="L46" s="4">
        <v>321856000</v>
      </c>
      <c r="M46" s="4">
        <v>328326000</v>
      </c>
      <c r="N46" s="4">
        <v>351132000</v>
      </c>
      <c r="O46" s="5">
        <v>372587000</v>
      </c>
      <c r="P46" s="4">
        <v>88350000</v>
      </c>
      <c r="Q46" s="4">
        <v>88043000</v>
      </c>
      <c r="R46" s="4">
        <v>99165000</v>
      </c>
      <c r="S46" s="4">
        <v>97029000</v>
      </c>
    </row>
    <row r="47" spans="1:19" ht="16" x14ac:dyDescent="0.2">
      <c r="A47" s="3" t="s">
        <v>55</v>
      </c>
      <c r="B47" s="6">
        <v>13.61</v>
      </c>
      <c r="C47" s="6">
        <v>13.53</v>
      </c>
      <c r="D47" s="6">
        <v>13.96</v>
      </c>
      <c r="E47" s="6">
        <v>13.81</v>
      </c>
      <c r="F47" s="6">
        <v>13.74</v>
      </c>
      <c r="G47" s="6">
        <v>13.33</v>
      </c>
      <c r="H47" s="6">
        <v>13.39</v>
      </c>
      <c r="I47" s="6">
        <v>12.85</v>
      </c>
      <c r="J47" s="6">
        <v>12.46</v>
      </c>
      <c r="K47" s="6">
        <v>12.74</v>
      </c>
      <c r="L47" s="6">
        <v>11.16</v>
      </c>
      <c r="M47" s="6">
        <v>11.51</v>
      </c>
      <c r="N47" s="6">
        <v>11.57</v>
      </c>
      <c r="O47" s="7">
        <v>11.59</v>
      </c>
      <c r="P47" s="6">
        <v>11.57</v>
      </c>
      <c r="Q47" s="6">
        <v>11.82</v>
      </c>
      <c r="R47" s="6">
        <v>11.75</v>
      </c>
      <c r="S47" s="6">
        <v>11.59</v>
      </c>
    </row>
    <row r="48" spans="1:19" ht="16" x14ac:dyDescent="0.2">
      <c r="A48" s="3" t="s">
        <v>56</v>
      </c>
      <c r="B48" s="4">
        <v>196603000</v>
      </c>
      <c r="C48" s="4">
        <v>219128000</v>
      </c>
      <c r="D48" s="4">
        <v>243850000</v>
      </c>
      <c r="E48" s="4">
        <v>252462000</v>
      </c>
      <c r="F48" s="4">
        <v>254627000</v>
      </c>
      <c r="G48" s="4">
        <v>232935000</v>
      </c>
      <c r="H48" s="4">
        <v>224286000</v>
      </c>
      <c r="I48" s="4">
        <v>230735000</v>
      </c>
      <c r="J48" s="4">
        <v>249042000</v>
      </c>
      <c r="K48" s="4">
        <v>284726000</v>
      </c>
      <c r="L48" s="4">
        <v>234884000</v>
      </c>
      <c r="M48" s="4">
        <v>238167000</v>
      </c>
      <c r="N48" s="4">
        <v>262743000</v>
      </c>
      <c r="O48" s="5">
        <v>284860000</v>
      </c>
      <c r="P48" s="4">
        <v>66128000</v>
      </c>
      <c r="Q48" s="4">
        <v>66659000</v>
      </c>
      <c r="R48" s="4">
        <v>77877000</v>
      </c>
      <c r="S48" s="4">
        <v>74196000</v>
      </c>
    </row>
    <row r="49" spans="1:19" ht="16" x14ac:dyDescent="0.2">
      <c r="A49" s="3" t="s">
        <v>57</v>
      </c>
      <c r="B49" s="4">
        <v>196603000</v>
      </c>
      <c r="C49" s="4">
        <v>219128000</v>
      </c>
      <c r="D49" s="4">
        <v>243850000</v>
      </c>
      <c r="E49" s="4">
        <v>252462000</v>
      </c>
      <c r="F49" s="4">
        <v>254627000</v>
      </c>
      <c r="G49" s="4">
        <v>232935000</v>
      </c>
      <c r="H49" s="4">
        <v>224286000</v>
      </c>
      <c r="I49" s="4">
        <v>230735000</v>
      </c>
      <c r="J49" s="4">
        <v>249042000</v>
      </c>
      <c r="K49" s="4">
        <v>284726000</v>
      </c>
      <c r="L49" s="4">
        <v>234884000</v>
      </c>
      <c r="M49" s="4">
        <v>238167000</v>
      </c>
      <c r="N49" s="4">
        <v>262743000</v>
      </c>
      <c r="O49" s="5">
        <v>284860000</v>
      </c>
      <c r="P49" s="4">
        <v>66128000</v>
      </c>
      <c r="Q49" s="4">
        <v>66659000</v>
      </c>
      <c r="R49" s="4">
        <v>77877000</v>
      </c>
      <c r="S49" s="4">
        <v>74196000</v>
      </c>
    </row>
    <row r="50" spans="1:19" ht="16" x14ac:dyDescent="0.2">
      <c r="A50" s="3" t="s">
        <v>61</v>
      </c>
      <c r="B50" s="4" t="s">
        <v>24</v>
      </c>
      <c r="C50" s="4" t="s">
        <v>24</v>
      </c>
      <c r="D50" s="4">
        <v>224994</v>
      </c>
      <c r="E50" s="4">
        <v>234067</v>
      </c>
      <c r="F50" s="4">
        <v>240086</v>
      </c>
      <c r="G50" s="4" t="s">
        <v>24</v>
      </c>
      <c r="H50" s="4" t="s">
        <v>24</v>
      </c>
      <c r="I50" s="4">
        <v>233960</v>
      </c>
      <c r="J50" s="4">
        <v>229869</v>
      </c>
      <c r="K50" s="4">
        <v>226767</v>
      </c>
      <c r="L50" s="4" t="s">
        <v>24</v>
      </c>
      <c r="M50" s="4" t="s">
        <v>24</v>
      </c>
      <c r="N50" s="4" t="s">
        <v>24</v>
      </c>
      <c r="O50" s="5" t="s">
        <v>24</v>
      </c>
      <c r="P50" s="4" t="s">
        <v>24</v>
      </c>
      <c r="Q50" s="4" t="s">
        <v>24</v>
      </c>
      <c r="R50" s="4" t="s">
        <v>24</v>
      </c>
      <c r="S50" s="4" t="s">
        <v>24</v>
      </c>
    </row>
    <row r="51" spans="1:19" ht="16" x14ac:dyDescent="0.2">
      <c r="A51" s="3" t="s">
        <v>62</v>
      </c>
      <c r="B51" s="4" t="s">
        <v>24</v>
      </c>
      <c r="C51" s="4" t="s">
        <v>24</v>
      </c>
      <c r="D51" s="4" t="s">
        <v>24</v>
      </c>
      <c r="E51" s="4" t="s">
        <v>24</v>
      </c>
      <c r="F51" s="4" t="s">
        <v>24</v>
      </c>
      <c r="G51" s="4" t="s">
        <v>24</v>
      </c>
      <c r="H51" s="4" t="s">
        <v>24</v>
      </c>
      <c r="I51" s="4" t="s">
        <v>24</v>
      </c>
      <c r="J51" s="6">
        <v>0.5</v>
      </c>
      <c r="K51" s="4">
        <v>1</v>
      </c>
      <c r="L51" s="6">
        <v>0.76</v>
      </c>
      <c r="M51" s="4">
        <v>1</v>
      </c>
      <c r="N51" s="6">
        <v>1.03</v>
      </c>
      <c r="O51" s="7">
        <v>1.06</v>
      </c>
      <c r="P51" s="6">
        <v>0.26</v>
      </c>
      <c r="Q51" s="6">
        <v>0.26</v>
      </c>
      <c r="R51" s="6">
        <v>0.27</v>
      </c>
      <c r="S51" s="6">
        <v>0.27</v>
      </c>
    </row>
    <row r="52" spans="1:19" ht="16" x14ac:dyDescent="0.2">
      <c r="A52" s="3" t="s">
        <v>63</v>
      </c>
      <c r="B52" s="4">
        <v>91216000</v>
      </c>
      <c r="C52" s="4">
        <v>96327000</v>
      </c>
      <c r="D52" s="4">
        <v>100816000</v>
      </c>
      <c r="E52" s="4">
        <v>108073000</v>
      </c>
      <c r="F52" s="4">
        <v>109259000</v>
      </c>
      <c r="G52" s="4">
        <v>103609000</v>
      </c>
      <c r="H52" s="4">
        <v>98732000</v>
      </c>
      <c r="I52" s="4">
        <v>90167000</v>
      </c>
      <c r="J52" s="4">
        <v>88572000</v>
      </c>
      <c r="K52" s="4">
        <v>85260000</v>
      </c>
      <c r="L52" s="4">
        <v>86972000</v>
      </c>
      <c r="M52" s="4">
        <v>90159000</v>
      </c>
      <c r="N52" s="4">
        <v>88389000</v>
      </c>
      <c r="O52" s="5">
        <v>87727000</v>
      </c>
      <c r="P52" s="4">
        <v>22222000</v>
      </c>
      <c r="Q52" s="4">
        <v>21384000</v>
      </c>
      <c r="R52" s="4">
        <v>21288000</v>
      </c>
      <c r="S52" s="4">
        <v>22833000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1292279000</v>
      </c>
      <c r="C55" s="4">
        <v>1380446000</v>
      </c>
      <c r="D55" s="4">
        <v>1548908000</v>
      </c>
      <c r="E55" s="4">
        <v>1647375000</v>
      </c>
      <c r="F55" s="4">
        <v>1664064000</v>
      </c>
      <c r="G55" s="4">
        <v>1627495000</v>
      </c>
      <c r="H55" s="4">
        <v>1620147000</v>
      </c>
      <c r="I55" s="4">
        <v>1626439000</v>
      </c>
      <c r="J55" s="4">
        <v>1476421000</v>
      </c>
      <c r="K55" s="4">
        <v>1628973000</v>
      </c>
      <c r="L55" s="4">
        <v>1613487000</v>
      </c>
      <c r="M55" s="4">
        <v>1718780000</v>
      </c>
      <c r="N55" s="4">
        <v>1758310000</v>
      </c>
      <c r="O55" s="5">
        <v>2056675000</v>
      </c>
      <c r="P55" s="4">
        <v>1758310000</v>
      </c>
      <c r="Q55" s="4">
        <v>1933183000</v>
      </c>
      <c r="R55" s="4">
        <v>1933180000</v>
      </c>
      <c r="S55" s="4">
        <v>2056675000</v>
      </c>
    </row>
    <row r="56" spans="1:19" ht="16" x14ac:dyDescent="0.2">
      <c r="A56" s="3" t="s">
        <v>65</v>
      </c>
      <c r="B56" s="4">
        <v>112421000</v>
      </c>
      <c r="C56" s="4">
        <v>113679000</v>
      </c>
      <c r="D56" s="4">
        <v>148841000</v>
      </c>
      <c r="E56" s="4">
        <v>157090000</v>
      </c>
      <c r="F56" s="4">
        <v>231292000</v>
      </c>
      <c r="G56" s="4">
        <v>309853000</v>
      </c>
      <c r="H56" s="4">
        <v>325128000</v>
      </c>
      <c r="I56" s="4">
        <v>368073000</v>
      </c>
      <c r="J56" s="4">
        <v>125584000</v>
      </c>
      <c r="K56" s="4">
        <v>92548000</v>
      </c>
      <c r="L56" s="4">
        <v>84583000</v>
      </c>
      <c r="M56" s="4">
        <v>99599000</v>
      </c>
      <c r="N56" s="4">
        <v>103895000</v>
      </c>
      <c r="O56" s="5">
        <v>122512000</v>
      </c>
      <c r="P56" s="4">
        <v>103895000</v>
      </c>
      <c r="Q56" s="4">
        <v>143069000</v>
      </c>
      <c r="R56" s="4">
        <v>107012000</v>
      </c>
      <c r="S56" s="4">
        <v>122512000</v>
      </c>
    </row>
    <row r="57" spans="1:19" ht="16" x14ac:dyDescent="0.2">
      <c r="A57" s="3" t="s">
        <v>66</v>
      </c>
      <c r="B57" s="4">
        <v>112421000</v>
      </c>
      <c r="C57" s="4">
        <v>113679000</v>
      </c>
      <c r="D57" s="4">
        <v>148841000</v>
      </c>
      <c r="E57" s="4">
        <v>157090000</v>
      </c>
      <c r="F57" s="4">
        <v>231292000</v>
      </c>
      <c r="G57" s="4">
        <v>309853000</v>
      </c>
      <c r="H57" s="4">
        <v>325128000</v>
      </c>
      <c r="I57" s="4">
        <v>368073000</v>
      </c>
      <c r="J57" s="4">
        <v>125584000</v>
      </c>
      <c r="K57" s="4">
        <v>92548000</v>
      </c>
      <c r="L57" s="4">
        <v>84583000</v>
      </c>
      <c r="M57" s="4">
        <v>99599000</v>
      </c>
      <c r="N57" s="4">
        <v>103895000</v>
      </c>
      <c r="O57" s="5">
        <v>122512000</v>
      </c>
      <c r="P57" s="4">
        <v>103895000</v>
      </c>
      <c r="Q57" s="4">
        <v>143069000</v>
      </c>
      <c r="R57" s="4">
        <v>107012000</v>
      </c>
      <c r="S57" s="4">
        <v>122512000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619861000</v>
      </c>
      <c r="C59" s="4">
        <v>655805000</v>
      </c>
      <c r="D59" s="4">
        <v>744551000</v>
      </c>
      <c r="E59" s="4">
        <v>811376000</v>
      </c>
      <c r="F59" s="4">
        <v>780874000</v>
      </c>
      <c r="G59" s="4">
        <v>698419000</v>
      </c>
      <c r="H59" s="4">
        <v>688388000</v>
      </c>
      <c r="I59" s="4">
        <v>727740000</v>
      </c>
      <c r="J59" s="4">
        <v>793911000</v>
      </c>
      <c r="K59" s="4">
        <v>957287000</v>
      </c>
      <c r="L59" s="4">
        <v>855535000</v>
      </c>
      <c r="M59" s="4">
        <v>945929000</v>
      </c>
      <c r="N59" s="4">
        <v>990262000</v>
      </c>
      <c r="O59" s="5">
        <v>1168186000</v>
      </c>
      <c r="P59" s="4">
        <v>990262000</v>
      </c>
      <c r="Q59" s="4">
        <v>1066340000</v>
      </c>
      <c r="R59" s="4">
        <v>1079980000</v>
      </c>
      <c r="S59" s="4">
        <v>1168186000</v>
      </c>
    </row>
    <row r="60" spans="1:19" ht="16" x14ac:dyDescent="0.2">
      <c r="A60" s="3" t="s">
        <v>69</v>
      </c>
      <c r="B60" s="4" t="s">
        <v>24</v>
      </c>
      <c r="C60" s="4">
        <v>333663000</v>
      </c>
      <c r="D60" s="4">
        <v>332246000</v>
      </c>
      <c r="E60" s="4">
        <v>811376000</v>
      </c>
      <c r="F60" s="4">
        <v>780874000</v>
      </c>
      <c r="G60" s="4">
        <v>698419000</v>
      </c>
      <c r="H60" s="4">
        <v>688388000</v>
      </c>
      <c r="I60" s="4">
        <v>727740000</v>
      </c>
      <c r="J60" s="4">
        <v>793911000</v>
      </c>
      <c r="K60" s="4">
        <v>957287000</v>
      </c>
      <c r="L60" s="4">
        <v>855535000</v>
      </c>
      <c r="M60" s="4">
        <v>945929000</v>
      </c>
      <c r="N60" s="4">
        <v>990262000</v>
      </c>
      <c r="O60" s="5">
        <v>1168186000</v>
      </c>
      <c r="P60" s="4">
        <v>990262000</v>
      </c>
      <c r="Q60" s="4">
        <v>1066340000</v>
      </c>
      <c r="R60" s="4">
        <v>1079980000</v>
      </c>
      <c r="S60" s="4">
        <v>1168186000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619861000</v>
      </c>
      <c r="C63" s="4">
        <v>322142000</v>
      </c>
      <c r="D63" s="4">
        <v>412305000</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460857000</v>
      </c>
      <c r="C64" s="4">
        <v>502373000</v>
      </c>
      <c r="D64" s="4">
        <v>538262000</v>
      </c>
      <c r="E64" s="4">
        <v>551674000</v>
      </c>
      <c r="F64" s="4">
        <v>517056000</v>
      </c>
      <c r="G64" s="4">
        <v>493360000</v>
      </c>
      <c r="H64" s="4">
        <v>479040000</v>
      </c>
      <c r="I64" s="4">
        <v>489127000</v>
      </c>
      <c r="J64" s="4">
        <v>512522000</v>
      </c>
      <c r="K64" s="4">
        <v>534974000</v>
      </c>
      <c r="L64" s="4">
        <v>623043000</v>
      </c>
      <c r="M64" s="4">
        <v>613095000</v>
      </c>
      <c r="N64" s="4">
        <v>588466000</v>
      </c>
      <c r="O64" s="5">
        <v>710252000</v>
      </c>
      <c r="P64" s="4">
        <v>588466000</v>
      </c>
      <c r="Q64" s="4">
        <v>648160000</v>
      </c>
      <c r="R64" s="4">
        <v>679045000</v>
      </c>
      <c r="S64" s="4">
        <v>710252000</v>
      </c>
    </row>
    <row r="65" spans="1:19" ht="16" x14ac:dyDescent="0.2">
      <c r="A65" s="3" t="s">
        <v>74</v>
      </c>
      <c r="B65" s="4">
        <v>179375000</v>
      </c>
      <c r="C65" s="4">
        <v>197347000</v>
      </c>
      <c r="D65" s="4">
        <v>188643000</v>
      </c>
      <c r="E65" s="4">
        <v>194249000</v>
      </c>
      <c r="F65" s="4">
        <v>198166000</v>
      </c>
      <c r="G65" s="4">
        <v>188843000</v>
      </c>
      <c r="H65" s="4">
        <v>174331000</v>
      </c>
      <c r="I65" s="4">
        <v>189517000</v>
      </c>
      <c r="J65" s="4">
        <v>197071000</v>
      </c>
      <c r="K65" s="4">
        <v>189875000</v>
      </c>
      <c r="L65" s="4">
        <v>235906000</v>
      </c>
      <c r="M65" s="4">
        <v>231406000</v>
      </c>
      <c r="N65" s="4">
        <v>219893000</v>
      </c>
      <c r="O65" s="5">
        <v>272813000</v>
      </c>
      <c r="P65" s="4">
        <v>219893000</v>
      </c>
      <c r="Q65" s="4">
        <v>250228000</v>
      </c>
      <c r="R65" s="4">
        <v>260179000</v>
      </c>
      <c r="S65" s="4">
        <v>272813000</v>
      </c>
    </row>
    <row r="66" spans="1:19" ht="16" x14ac:dyDescent="0.2">
      <c r="A66" s="3" t="s">
        <v>75</v>
      </c>
      <c r="B66" s="4">
        <v>221128000</v>
      </c>
      <c r="C66" s="4">
        <v>235428000</v>
      </c>
      <c r="D66" s="4">
        <v>283122000</v>
      </c>
      <c r="E66" s="4">
        <v>289124000</v>
      </c>
      <c r="F66" s="4">
        <v>251701000</v>
      </c>
      <c r="G66" s="4">
        <v>243373000</v>
      </c>
      <c r="H66" s="4">
        <v>235258000</v>
      </c>
      <c r="I66" s="4">
        <v>229202000</v>
      </c>
      <c r="J66" s="4">
        <v>240885000</v>
      </c>
      <c r="K66" s="4">
        <v>276538000</v>
      </c>
      <c r="L66" s="4">
        <v>327990000</v>
      </c>
      <c r="M66" s="4">
        <v>315762000</v>
      </c>
      <c r="N66" s="4">
        <v>305328000</v>
      </c>
      <c r="O66" s="5">
        <v>351804000</v>
      </c>
      <c r="P66" s="4">
        <v>305328000</v>
      </c>
      <c r="Q66" s="4">
        <v>325718000</v>
      </c>
      <c r="R66" s="4">
        <v>339540000</v>
      </c>
      <c r="S66" s="4">
        <v>351804000</v>
      </c>
    </row>
    <row r="67" spans="1:19" ht="16" x14ac:dyDescent="0.2">
      <c r="A67" s="3" t="s">
        <v>76</v>
      </c>
      <c r="B67" s="4">
        <v>60354000</v>
      </c>
      <c r="C67" s="4">
        <v>69598000</v>
      </c>
      <c r="D67" s="4">
        <v>66497000</v>
      </c>
      <c r="E67" s="4">
        <v>68301000</v>
      </c>
      <c r="F67" s="4">
        <v>67189000</v>
      </c>
      <c r="G67" s="4">
        <v>61144000</v>
      </c>
      <c r="H67" s="4">
        <v>69451000</v>
      </c>
      <c r="I67" s="4">
        <v>70408000</v>
      </c>
      <c r="J67" s="4">
        <v>74566000</v>
      </c>
      <c r="K67" s="4">
        <v>68561000</v>
      </c>
      <c r="L67" s="4">
        <v>59147000</v>
      </c>
      <c r="M67" s="4">
        <v>65927000</v>
      </c>
      <c r="N67" s="4">
        <v>63245000</v>
      </c>
      <c r="O67" s="5">
        <v>85635000</v>
      </c>
      <c r="P67" s="4">
        <v>63245000</v>
      </c>
      <c r="Q67" s="4">
        <v>72214000</v>
      </c>
      <c r="R67" s="4">
        <v>79326000</v>
      </c>
      <c r="S67" s="4">
        <v>85635000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99140000</v>
      </c>
      <c r="C70" s="4">
        <v>108589000</v>
      </c>
      <c r="D70" s="4">
        <v>117254000</v>
      </c>
      <c r="E70" s="4">
        <v>127235000</v>
      </c>
      <c r="F70" s="4">
        <v>134842000</v>
      </c>
      <c r="G70" s="4">
        <v>125863000</v>
      </c>
      <c r="H70" s="4">
        <v>127591000</v>
      </c>
      <c r="I70" s="4">
        <v>41499000</v>
      </c>
      <c r="J70" s="4">
        <v>44404000</v>
      </c>
      <c r="K70" s="4">
        <v>44164000</v>
      </c>
      <c r="L70" s="4">
        <v>50326000</v>
      </c>
      <c r="M70" s="4">
        <v>60157000</v>
      </c>
      <c r="N70" s="4">
        <v>75687000</v>
      </c>
      <c r="O70" s="5">
        <v>55725000</v>
      </c>
      <c r="P70" s="4">
        <v>75687000</v>
      </c>
      <c r="Q70" s="4">
        <v>75614000</v>
      </c>
      <c r="R70" s="4">
        <v>67143000</v>
      </c>
      <c r="S70" s="4">
        <v>55725000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1419855000</v>
      </c>
      <c r="C76" s="4">
        <v>1462521000</v>
      </c>
      <c r="D76" s="4">
        <v>1556999000</v>
      </c>
      <c r="E76" s="4">
        <v>1589720000</v>
      </c>
      <c r="F76" s="4">
        <v>1544388000</v>
      </c>
      <c r="G76" s="4">
        <v>1458976000</v>
      </c>
      <c r="H76" s="4">
        <v>1421712000</v>
      </c>
      <c r="I76" s="4">
        <v>1464153000</v>
      </c>
      <c r="J76" s="4">
        <v>1487627000</v>
      </c>
      <c r="K76" s="4">
        <v>1485264000</v>
      </c>
      <c r="L76" s="4">
        <v>1612344000</v>
      </c>
      <c r="M76" s="4">
        <v>1714389000</v>
      </c>
      <c r="N76" s="4">
        <v>1673531000</v>
      </c>
      <c r="O76" s="5">
        <v>1825568000</v>
      </c>
      <c r="P76" s="4">
        <v>1673531000</v>
      </c>
      <c r="Q76" s="4">
        <v>1724862000</v>
      </c>
      <c r="R76" s="4">
        <v>1766429000</v>
      </c>
      <c r="S76" s="4">
        <v>1825568000</v>
      </c>
    </row>
    <row r="77" spans="1:19" ht="16" x14ac:dyDescent="0.2">
      <c r="A77" s="3" t="s">
        <v>86</v>
      </c>
      <c r="B77" s="4">
        <v>486944000</v>
      </c>
      <c r="C77" s="4">
        <v>503872000</v>
      </c>
      <c r="D77" s="4">
        <v>546179000</v>
      </c>
      <c r="E77" s="4">
        <v>562363000</v>
      </c>
      <c r="F77" s="4">
        <v>555348000</v>
      </c>
      <c r="G77" s="4">
        <v>536756000</v>
      </c>
      <c r="H77" s="4">
        <v>522369000</v>
      </c>
      <c r="I77" s="4">
        <v>522991000</v>
      </c>
      <c r="J77" s="4">
        <v>552865000</v>
      </c>
      <c r="K77" s="4">
        <v>586767000</v>
      </c>
      <c r="L77" s="4">
        <v>-185610000</v>
      </c>
      <c r="M77" s="4">
        <v>-161351000</v>
      </c>
      <c r="N77" s="4">
        <v>-115848000</v>
      </c>
      <c r="O77" s="5">
        <v>-51781000</v>
      </c>
      <c r="P77" s="4">
        <v>-115848000</v>
      </c>
      <c r="Q77" s="4">
        <v>-126919000</v>
      </c>
      <c r="R77" s="4">
        <v>-98489000</v>
      </c>
      <c r="S77" s="4">
        <v>-51781000</v>
      </c>
    </row>
    <row r="78" spans="1:19" ht="16" x14ac:dyDescent="0.2">
      <c r="A78" s="3" t="s">
        <v>87</v>
      </c>
      <c r="B78" s="4">
        <v>944860000</v>
      </c>
      <c r="C78" s="4">
        <v>1017023000</v>
      </c>
      <c r="D78" s="4">
        <v>1107035000</v>
      </c>
      <c r="E78" s="4">
        <v>1176011000</v>
      </c>
      <c r="F78" s="4">
        <v>1194424000</v>
      </c>
      <c r="G78" s="4">
        <v>1213924000</v>
      </c>
      <c r="H78" s="4">
        <v>1248178000</v>
      </c>
      <c r="I78" s="4">
        <v>1294151000</v>
      </c>
      <c r="J78" s="4">
        <v>1369702000</v>
      </c>
      <c r="K78" s="4">
        <v>1415577000</v>
      </c>
      <c r="L78" s="4">
        <v>668891000</v>
      </c>
      <c r="M78" s="4">
        <v>706133000</v>
      </c>
      <c r="N78" s="4">
        <v>737980000</v>
      </c>
      <c r="O78" s="5">
        <v>859253000</v>
      </c>
      <c r="P78" s="4">
        <v>737980000</v>
      </c>
      <c r="Q78" s="4">
        <v>757992000</v>
      </c>
      <c r="R78" s="4">
        <v>800168000</v>
      </c>
      <c r="S78" s="4">
        <v>859253000</v>
      </c>
    </row>
    <row r="79" spans="1:19" ht="16" x14ac:dyDescent="0.2">
      <c r="A79" s="3" t="s">
        <v>88</v>
      </c>
      <c r="B79" s="4">
        <v>457916000</v>
      </c>
      <c r="C79" s="4">
        <v>513151000</v>
      </c>
      <c r="D79" s="4">
        <v>560856000</v>
      </c>
      <c r="E79" s="4">
        <v>613648000</v>
      </c>
      <c r="F79" s="4">
        <v>639076000</v>
      </c>
      <c r="G79" s="4">
        <v>677168000</v>
      </c>
      <c r="H79" s="4">
        <v>725809000</v>
      </c>
      <c r="I79" s="4">
        <v>771160000</v>
      </c>
      <c r="J79" s="4">
        <v>816837000</v>
      </c>
      <c r="K79" s="4">
        <v>828810000</v>
      </c>
      <c r="L79" s="4">
        <v>854501000</v>
      </c>
      <c r="M79" s="4">
        <v>867484000</v>
      </c>
      <c r="N79" s="4">
        <v>853828000</v>
      </c>
      <c r="O79" s="5">
        <v>911034000</v>
      </c>
      <c r="P79" s="4">
        <v>853828000</v>
      </c>
      <c r="Q79" s="4">
        <v>884911000</v>
      </c>
      <c r="R79" s="4">
        <v>898657000</v>
      </c>
      <c r="S79" s="4">
        <v>911034000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932911000</v>
      </c>
      <c r="C83" s="4">
        <v>958649000</v>
      </c>
      <c r="D83" s="4">
        <v>1010820000</v>
      </c>
      <c r="E83" s="4">
        <v>1027357000</v>
      </c>
      <c r="F83" s="4">
        <v>989040000</v>
      </c>
      <c r="G83" s="4">
        <v>922220000</v>
      </c>
      <c r="H83" s="4">
        <v>899343000</v>
      </c>
      <c r="I83" s="4">
        <v>941162000</v>
      </c>
      <c r="J83" s="4">
        <v>934762000</v>
      </c>
      <c r="K83" s="4">
        <v>898497000</v>
      </c>
      <c r="L83" s="4">
        <v>1797954000</v>
      </c>
      <c r="M83" s="4">
        <v>1875740000</v>
      </c>
      <c r="N83" s="4">
        <v>1789379000</v>
      </c>
      <c r="O83" s="5">
        <v>1877349000</v>
      </c>
      <c r="P83" s="4">
        <v>1789379000</v>
      </c>
      <c r="Q83" s="4">
        <v>1851781000</v>
      </c>
      <c r="R83" s="4">
        <v>1864918000</v>
      </c>
      <c r="S83" s="4">
        <v>1877349000</v>
      </c>
    </row>
    <row r="84" spans="1:19" ht="16" x14ac:dyDescent="0.2">
      <c r="A84" s="3" t="s">
        <v>93</v>
      </c>
      <c r="B84" s="4">
        <v>910690000</v>
      </c>
      <c r="C84" s="4">
        <v>932566000</v>
      </c>
      <c r="D84" s="4">
        <v>975049000</v>
      </c>
      <c r="E84" s="4">
        <v>975680000</v>
      </c>
      <c r="F84" s="4">
        <v>935922000</v>
      </c>
      <c r="G84" s="4">
        <v>880935000</v>
      </c>
      <c r="H84" s="4">
        <v>853722000</v>
      </c>
      <c r="I84" s="4">
        <v>883086000</v>
      </c>
      <c r="J84" s="4">
        <v>892754000</v>
      </c>
      <c r="K84" s="4">
        <v>863886000</v>
      </c>
      <c r="L84" s="4">
        <v>906902000</v>
      </c>
      <c r="M84" s="4">
        <v>957700000</v>
      </c>
      <c r="N84" s="4">
        <v>890730000</v>
      </c>
      <c r="O84" s="5">
        <v>908900000</v>
      </c>
      <c r="P84" s="4">
        <v>890730000</v>
      </c>
      <c r="Q84" s="4">
        <v>908297000</v>
      </c>
      <c r="R84" s="4">
        <v>908919000</v>
      </c>
      <c r="S84" s="4">
        <v>908900000</v>
      </c>
    </row>
    <row r="85" spans="1:19" ht="16" x14ac:dyDescent="0.2">
      <c r="A85" s="3" t="s">
        <v>94</v>
      </c>
      <c r="B85" s="4">
        <v>704816000</v>
      </c>
      <c r="C85" s="4">
        <v>735021000</v>
      </c>
      <c r="D85" s="4">
        <v>762854000</v>
      </c>
      <c r="E85" s="4">
        <v>766924000</v>
      </c>
      <c r="F85" s="4">
        <v>757852000</v>
      </c>
      <c r="G85" s="4">
        <v>737212000</v>
      </c>
      <c r="H85" s="4">
        <v>740162000</v>
      </c>
      <c r="I85" s="4">
        <v>774268000</v>
      </c>
      <c r="J85" s="4">
        <v>797217000</v>
      </c>
      <c r="K85" s="4">
        <v>784240000</v>
      </c>
      <c r="L85" s="4">
        <v>821856000</v>
      </c>
      <c r="M85" s="4">
        <v>851605000</v>
      </c>
      <c r="N85" s="4">
        <v>805320000</v>
      </c>
      <c r="O85" s="5">
        <v>829220000</v>
      </c>
      <c r="P85" s="4">
        <v>805320000</v>
      </c>
      <c r="Q85" s="4">
        <v>822901000</v>
      </c>
      <c r="R85" s="4">
        <v>826498000</v>
      </c>
      <c r="S85" s="4">
        <v>829220000</v>
      </c>
    </row>
    <row r="86" spans="1:19" ht="16" x14ac:dyDescent="0.2">
      <c r="A86" s="3" t="s">
        <v>95</v>
      </c>
      <c r="B86" s="4">
        <v>205874000</v>
      </c>
      <c r="C86" s="4">
        <v>197545000</v>
      </c>
      <c r="D86" s="4">
        <v>212195000</v>
      </c>
      <c r="E86" s="4">
        <v>208756000</v>
      </c>
      <c r="F86" s="4">
        <v>178070000</v>
      </c>
      <c r="G86" s="4">
        <v>143723000</v>
      </c>
      <c r="H86" s="4">
        <v>113560000</v>
      </c>
      <c r="I86" s="4">
        <v>108818000</v>
      </c>
      <c r="J86" s="4">
        <v>95537000</v>
      </c>
      <c r="K86" s="4">
        <v>79646000</v>
      </c>
      <c r="L86" s="4">
        <v>85046000</v>
      </c>
      <c r="M86" s="4">
        <v>106095000</v>
      </c>
      <c r="N86" s="4">
        <v>85410000</v>
      </c>
      <c r="O86" s="5">
        <v>79680000</v>
      </c>
      <c r="P86" s="4">
        <v>85410000</v>
      </c>
      <c r="Q86" s="4">
        <v>85396000</v>
      </c>
      <c r="R86" s="4">
        <v>82421000</v>
      </c>
      <c r="S86" s="4">
        <v>79680000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22221000</v>
      </c>
      <c r="C89" s="4">
        <v>26083000</v>
      </c>
      <c r="D89" s="4">
        <v>35771000</v>
      </c>
      <c r="E89" s="4">
        <v>51677000</v>
      </c>
      <c r="F89" s="4">
        <v>53118000</v>
      </c>
      <c r="G89" s="4">
        <v>41285000</v>
      </c>
      <c r="H89" s="4">
        <v>45621000</v>
      </c>
      <c r="I89" s="4">
        <v>58076000</v>
      </c>
      <c r="J89" s="4">
        <v>42008000</v>
      </c>
      <c r="K89" s="4">
        <v>34611000</v>
      </c>
      <c r="L89" s="4">
        <v>891052000</v>
      </c>
      <c r="M89" s="4">
        <v>918040000</v>
      </c>
      <c r="N89" s="4">
        <v>898649000</v>
      </c>
      <c r="O89" s="5">
        <v>968449000</v>
      </c>
      <c r="P89" s="4">
        <v>898649000</v>
      </c>
      <c r="Q89" s="4">
        <v>943484000</v>
      </c>
      <c r="R89" s="4">
        <v>955999000</v>
      </c>
      <c r="S89" s="4">
        <v>968449000</v>
      </c>
    </row>
    <row r="90" spans="1:19" ht="16" x14ac:dyDescent="0.2">
      <c r="A90" s="3" t="s">
        <v>99</v>
      </c>
      <c r="B90" s="4">
        <v>2712134000</v>
      </c>
      <c r="C90" s="4">
        <v>2842967000</v>
      </c>
      <c r="D90" s="4">
        <v>3105907000</v>
      </c>
      <c r="E90" s="4">
        <v>3237095000</v>
      </c>
      <c r="F90" s="4">
        <v>3208452000</v>
      </c>
      <c r="G90" s="4">
        <v>3086471000</v>
      </c>
      <c r="H90" s="4">
        <v>3041859000</v>
      </c>
      <c r="I90" s="4">
        <v>3090592000</v>
      </c>
      <c r="J90" s="4">
        <v>2964048000</v>
      </c>
      <c r="K90" s="4">
        <v>3114237000</v>
      </c>
      <c r="L90" s="4">
        <v>3225831000</v>
      </c>
      <c r="M90" s="4">
        <v>3433169000</v>
      </c>
      <c r="N90" s="4">
        <v>3431841000</v>
      </c>
      <c r="O90" s="5">
        <v>3882243000</v>
      </c>
      <c r="P90" s="4">
        <v>3431841000</v>
      </c>
      <c r="Q90" s="4">
        <v>3658045000</v>
      </c>
      <c r="R90" s="4">
        <v>3699609000</v>
      </c>
      <c r="S90" s="4">
        <v>3882243000</v>
      </c>
    </row>
    <row r="91" spans="1:19" ht="16" x14ac:dyDescent="0.2">
      <c r="A91" s="3" t="s">
        <v>100</v>
      </c>
      <c r="B91" s="4">
        <v>356565000</v>
      </c>
      <c r="C91" s="4">
        <v>270996000</v>
      </c>
      <c r="D91" s="4">
        <v>169587000</v>
      </c>
      <c r="E91" s="4">
        <v>570532000</v>
      </c>
      <c r="F91" s="4">
        <v>432398000</v>
      </c>
      <c r="G91" s="4">
        <v>407543000</v>
      </c>
      <c r="H91" s="4">
        <v>387629000</v>
      </c>
      <c r="I91" s="4">
        <v>278156000</v>
      </c>
      <c r="J91" s="4">
        <v>334926000</v>
      </c>
      <c r="K91" s="4">
        <v>446402000</v>
      </c>
      <c r="L91" s="4">
        <v>397356000</v>
      </c>
      <c r="M91" s="4">
        <v>412607000</v>
      </c>
      <c r="N91" s="4">
        <v>447480000</v>
      </c>
      <c r="O91" s="5">
        <v>452361000</v>
      </c>
      <c r="P91" s="4">
        <v>447480000</v>
      </c>
      <c r="Q91" s="4">
        <v>435812000</v>
      </c>
      <c r="R91" s="4">
        <v>450870000</v>
      </c>
      <c r="S91" s="4">
        <v>452361000</v>
      </c>
    </row>
    <row r="92" spans="1:19" ht="16" x14ac:dyDescent="0.2">
      <c r="A92" s="3" t="s">
        <v>101</v>
      </c>
      <c r="B92" s="4">
        <v>154321000</v>
      </c>
      <c r="C92" s="4">
        <v>165893000</v>
      </c>
      <c r="D92" s="4">
        <v>169587000</v>
      </c>
      <c r="E92" s="4">
        <v>181893000</v>
      </c>
      <c r="F92" s="4">
        <v>162667000</v>
      </c>
      <c r="G92" s="4">
        <v>165973000</v>
      </c>
      <c r="H92" s="4">
        <v>144450000</v>
      </c>
      <c r="I92" s="4">
        <v>170878000</v>
      </c>
      <c r="J92" s="4">
        <v>213982000</v>
      </c>
      <c r="K92" s="4">
        <v>257677000</v>
      </c>
      <c r="L92" s="4">
        <v>176868000</v>
      </c>
      <c r="M92" s="4">
        <v>200602000</v>
      </c>
      <c r="N92" s="4">
        <v>232104000</v>
      </c>
      <c r="O92" s="5">
        <v>245458000</v>
      </c>
      <c r="P92" s="4">
        <v>232104000</v>
      </c>
      <c r="Q92" s="4">
        <v>226188000</v>
      </c>
      <c r="R92" s="4">
        <v>238603000</v>
      </c>
      <c r="S92" s="4">
        <v>245458000</v>
      </c>
    </row>
    <row r="93" spans="1:19" ht="16" x14ac:dyDescent="0.2">
      <c r="A93" s="3" t="s">
        <v>102</v>
      </c>
      <c r="B93" s="4" t="s">
        <v>24</v>
      </c>
      <c r="C93" s="4" t="s">
        <v>24</v>
      </c>
      <c r="D93" s="4" t="s">
        <v>24</v>
      </c>
      <c r="E93" s="4" t="s">
        <v>24</v>
      </c>
      <c r="F93" s="4" t="s">
        <v>24</v>
      </c>
      <c r="G93" s="4" t="s">
        <v>24</v>
      </c>
      <c r="H93" s="4" t="s">
        <v>24</v>
      </c>
      <c r="I93" s="4" t="s">
        <v>24</v>
      </c>
      <c r="J93" s="4">
        <v>16737000</v>
      </c>
      <c r="K93" s="4">
        <v>26532000</v>
      </c>
      <c r="L93" s="4">
        <v>11785000</v>
      </c>
      <c r="M93" s="4">
        <v>12908000</v>
      </c>
      <c r="N93" s="4">
        <v>17776000</v>
      </c>
      <c r="O93" s="5">
        <v>30546000</v>
      </c>
      <c r="P93" s="4">
        <v>17776000</v>
      </c>
      <c r="Q93" s="4">
        <v>24223000</v>
      </c>
      <c r="R93" s="4">
        <v>24778000</v>
      </c>
      <c r="S93" s="4">
        <v>30546000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202244000</v>
      </c>
      <c r="C95" s="4">
        <v>105103000</v>
      </c>
      <c r="D95" s="4" t="s">
        <v>24</v>
      </c>
      <c r="E95" s="4">
        <v>388639000</v>
      </c>
      <c r="F95" s="4">
        <v>269731000</v>
      </c>
      <c r="G95" s="4">
        <v>241570000</v>
      </c>
      <c r="H95" s="4">
        <v>243179000</v>
      </c>
      <c r="I95" s="4">
        <v>107278000</v>
      </c>
      <c r="J95" s="4">
        <v>104207000</v>
      </c>
      <c r="K95" s="4">
        <v>162193000</v>
      </c>
      <c r="L95" s="4">
        <v>208703000</v>
      </c>
      <c r="M95" s="4">
        <v>199097000</v>
      </c>
      <c r="N95" s="4">
        <v>197600000</v>
      </c>
      <c r="O95" s="5">
        <v>176357000</v>
      </c>
      <c r="P95" s="4">
        <v>197600000</v>
      </c>
      <c r="Q95" s="4">
        <v>185401000</v>
      </c>
      <c r="R95" s="4">
        <v>187489000</v>
      </c>
      <c r="S95" s="4">
        <v>176357000</v>
      </c>
    </row>
    <row r="96" spans="1:19" ht="16" x14ac:dyDescent="0.2">
      <c r="A96" s="3" t="s">
        <v>105</v>
      </c>
      <c r="B96" s="4">
        <v>7396000</v>
      </c>
      <c r="C96" s="4">
        <v>10690000</v>
      </c>
      <c r="D96" s="4">
        <v>93960000</v>
      </c>
      <c r="E96" s="4">
        <v>108470000</v>
      </c>
      <c r="F96" s="4">
        <v>108922000</v>
      </c>
      <c r="G96" s="4">
        <v>117000</v>
      </c>
      <c r="H96" s="4">
        <v>1546000</v>
      </c>
      <c r="I96" s="4">
        <v>384000</v>
      </c>
      <c r="J96" s="4">
        <v>3988000</v>
      </c>
      <c r="K96" s="4">
        <v>249000</v>
      </c>
      <c r="L96" s="4">
        <v>350000</v>
      </c>
      <c r="M96" s="4">
        <v>80365000</v>
      </c>
      <c r="N96" s="4">
        <v>916000</v>
      </c>
      <c r="O96" s="5">
        <v>696000</v>
      </c>
      <c r="P96" s="4">
        <v>916000</v>
      </c>
      <c r="Q96" s="4">
        <v>822000</v>
      </c>
      <c r="R96" s="4">
        <v>728000</v>
      </c>
      <c r="S96" s="4">
        <v>696000</v>
      </c>
    </row>
    <row r="97" spans="1:19" ht="16" x14ac:dyDescent="0.2">
      <c r="A97" s="3" t="s">
        <v>106</v>
      </c>
      <c r="B97" s="4">
        <v>7396000</v>
      </c>
      <c r="C97" s="4">
        <v>10690000</v>
      </c>
      <c r="D97" s="4">
        <v>93960000</v>
      </c>
      <c r="E97" s="4">
        <v>108470000</v>
      </c>
      <c r="F97" s="4">
        <v>108922000</v>
      </c>
      <c r="G97" s="4">
        <v>117000</v>
      </c>
      <c r="H97" s="4">
        <v>1546000</v>
      </c>
      <c r="I97" s="4">
        <v>384000</v>
      </c>
      <c r="J97" s="4">
        <v>3988000</v>
      </c>
      <c r="K97" s="4">
        <v>249000</v>
      </c>
      <c r="L97" s="4">
        <v>350000</v>
      </c>
      <c r="M97" s="4">
        <v>80365000</v>
      </c>
      <c r="N97" s="4">
        <v>916000</v>
      </c>
      <c r="O97" s="5">
        <v>696000</v>
      </c>
      <c r="P97" s="4">
        <v>916000</v>
      </c>
      <c r="Q97" s="4">
        <v>822000</v>
      </c>
      <c r="R97" s="4">
        <v>728000</v>
      </c>
      <c r="S97" s="4">
        <v>696000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115513000</v>
      </c>
      <c r="C99" s="4">
        <v>264704000</v>
      </c>
      <c r="D99" s="4">
        <v>400329000</v>
      </c>
      <c r="E99" s="4">
        <v>44228000</v>
      </c>
      <c r="F99" s="4">
        <v>181484000</v>
      </c>
      <c r="G99" s="4">
        <v>197845000</v>
      </c>
      <c r="H99" s="4">
        <v>200057000</v>
      </c>
      <c r="I99" s="4">
        <v>350894000</v>
      </c>
      <c r="J99" s="4">
        <v>341710000</v>
      </c>
      <c r="K99" s="4">
        <v>281007000</v>
      </c>
      <c r="L99" s="4">
        <v>312848000</v>
      </c>
      <c r="M99" s="4">
        <v>376389000</v>
      </c>
      <c r="N99" s="4">
        <v>390040000</v>
      </c>
      <c r="O99" s="5">
        <v>450394000</v>
      </c>
      <c r="P99" s="4">
        <v>390040000</v>
      </c>
      <c r="Q99" s="4">
        <v>449032000</v>
      </c>
      <c r="R99" s="4">
        <v>391252000</v>
      </c>
      <c r="S99" s="4">
        <v>450394000</v>
      </c>
    </row>
    <row r="100" spans="1:19" ht="16" x14ac:dyDescent="0.2">
      <c r="A100" s="3" t="s">
        <v>109</v>
      </c>
      <c r="B100" s="4">
        <v>74703000</v>
      </c>
      <c r="C100" s="4">
        <v>97331000</v>
      </c>
      <c r="D100" s="4">
        <v>112204000</v>
      </c>
      <c r="E100" s="4">
        <v>145854000</v>
      </c>
      <c r="F100" s="4">
        <v>145500000</v>
      </c>
      <c r="G100" s="4">
        <v>167423000</v>
      </c>
      <c r="H100" s="4">
        <v>167514000</v>
      </c>
      <c r="I100" s="4">
        <v>159274000</v>
      </c>
      <c r="J100" s="4">
        <v>151687000</v>
      </c>
      <c r="K100" s="4">
        <v>137242000</v>
      </c>
      <c r="L100" s="4">
        <v>203338000</v>
      </c>
      <c r="M100" s="4">
        <v>263686000</v>
      </c>
      <c r="N100" s="4">
        <v>296899000</v>
      </c>
      <c r="O100" s="5">
        <v>366766000</v>
      </c>
      <c r="P100" s="4">
        <v>296899000</v>
      </c>
      <c r="Q100" s="4">
        <v>372262000</v>
      </c>
      <c r="R100" s="4">
        <v>317253000</v>
      </c>
      <c r="S100" s="4">
        <v>366766000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40810000</v>
      </c>
      <c r="C103" s="4">
        <v>167373000</v>
      </c>
      <c r="D103" s="4">
        <v>288125000</v>
      </c>
      <c r="E103" s="4">
        <v>-101626000</v>
      </c>
      <c r="F103" s="4">
        <v>35984000</v>
      </c>
      <c r="G103" s="4">
        <v>30422000</v>
      </c>
      <c r="H103" s="4">
        <v>32543000</v>
      </c>
      <c r="I103" s="4">
        <v>191620000</v>
      </c>
      <c r="J103" s="4">
        <v>190023000</v>
      </c>
      <c r="K103" s="4">
        <v>143765000</v>
      </c>
      <c r="L103" s="4">
        <v>109510000</v>
      </c>
      <c r="M103" s="4">
        <v>112703000</v>
      </c>
      <c r="N103" s="4">
        <v>93141000</v>
      </c>
      <c r="O103" s="5">
        <v>83628000</v>
      </c>
      <c r="P103" s="4">
        <v>93141000</v>
      </c>
      <c r="Q103" s="4">
        <v>76770000</v>
      </c>
      <c r="R103" s="4">
        <v>73999000</v>
      </c>
      <c r="S103" s="4">
        <v>83628000</v>
      </c>
    </row>
    <row r="104" spans="1:19" ht="16" x14ac:dyDescent="0.2">
      <c r="A104" s="3" t="s">
        <v>113</v>
      </c>
      <c r="B104" s="4">
        <v>479474000</v>
      </c>
      <c r="C104" s="4">
        <v>546390000</v>
      </c>
      <c r="D104" s="4">
        <v>663876000</v>
      </c>
      <c r="E104" s="4">
        <v>723230000</v>
      </c>
      <c r="F104" s="4">
        <v>722804000</v>
      </c>
      <c r="G104" s="4">
        <v>605505000</v>
      </c>
      <c r="H104" s="4">
        <v>589232000</v>
      </c>
      <c r="I104" s="4">
        <v>629434000</v>
      </c>
      <c r="J104" s="4">
        <v>680624000</v>
      </c>
      <c r="K104" s="4">
        <v>727658000</v>
      </c>
      <c r="L104" s="4">
        <v>710554000</v>
      </c>
      <c r="M104" s="4">
        <v>869361000</v>
      </c>
      <c r="N104" s="4">
        <v>838436000</v>
      </c>
      <c r="O104" s="5">
        <v>903451000</v>
      </c>
      <c r="P104" s="4">
        <v>838436000</v>
      </c>
      <c r="Q104" s="4">
        <v>885666000</v>
      </c>
      <c r="R104" s="4">
        <v>842850000</v>
      </c>
      <c r="S104" s="4">
        <v>903451000</v>
      </c>
    </row>
    <row r="105" spans="1:19" ht="16" x14ac:dyDescent="0.2">
      <c r="A105" s="3" t="s">
        <v>114</v>
      </c>
      <c r="B105" s="4">
        <v>757320000</v>
      </c>
      <c r="C105" s="4">
        <v>714757000</v>
      </c>
      <c r="D105" s="4">
        <v>670662000</v>
      </c>
      <c r="E105" s="4">
        <v>600687000</v>
      </c>
      <c r="F105" s="4">
        <v>765114000</v>
      </c>
      <c r="G105" s="4">
        <v>1075067000</v>
      </c>
      <c r="H105" s="4">
        <v>1010304000</v>
      </c>
      <c r="I105" s="4">
        <v>956653000</v>
      </c>
      <c r="J105" s="4">
        <v>858836000</v>
      </c>
      <c r="K105" s="4">
        <v>832984000</v>
      </c>
      <c r="L105" s="4">
        <v>929982000</v>
      </c>
      <c r="M105" s="4">
        <v>823355000</v>
      </c>
      <c r="N105" s="4">
        <v>836872000</v>
      </c>
      <c r="O105" s="5">
        <v>1012080000</v>
      </c>
      <c r="P105" s="4">
        <v>836872000</v>
      </c>
      <c r="Q105" s="4">
        <v>916058000</v>
      </c>
      <c r="R105" s="4">
        <v>958414000</v>
      </c>
      <c r="S105" s="4">
        <v>1012080000</v>
      </c>
    </row>
    <row r="106" spans="1:19" ht="16" x14ac:dyDescent="0.2">
      <c r="A106" s="3" t="s">
        <v>115</v>
      </c>
      <c r="B106" s="4">
        <v>757320000</v>
      </c>
      <c r="C106" s="4">
        <v>714757000</v>
      </c>
      <c r="D106" s="4">
        <v>670662000</v>
      </c>
      <c r="E106" s="4">
        <v>600687000</v>
      </c>
      <c r="F106" s="4">
        <v>765114000</v>
      </c>
      <c r="G106" s="4">
        <v>1075067000</v>
      </c>
      <c r="H106" s="4">
        <v>1010304000</v>
      </c>
      <c r="I106" s="4">
        <v>956653000</v>
      </c>
      <c r="J106" s="4">
        <v>858836000</v>
      </c>
      <c r="K106" s="4">
        <v>832984000</v>
      </c>
      <c r="L106" s="4">
        <v>929982000</v>
      </c>
      <c r="M106" s="4">
        <v>823355000</v>
      </c>
      <c r="N106" s="4">
        <v>836872000</v>
      </c>
      <c r="O106" s="5">
        <v>1012080000</v>
      </c>
      <c r="P106" s="4">
        <v>836872000</v>
      </c>
      <c r="Q106" s="4">
        <v>916058000</v>
      </c>
      <c r="R106" s="4">
        <v>958414000</v>
      </c>
      <c r="S106" s="4">
        <v>1012080000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354384000</v>
      </c>
      <c r="C108" s="4">
        <v>389929000</v>
      </c>
      <c r="D108" s="4">
        <v>466579000</v>
      </c>
      <c r="E108" s="4">
        <v>377413000</v>
      </c>
      <c r="F108" s="4">
        <v>373119000</v>
      </c>
      <c r="G108" s="4">
        <v>411367000</v>
      </c>
      <c r="H108" s="4">
        <v>453912000</v>
      </c>
      <c r="I108" s="4">
        <v>290201000</v>
      </c>
      <c r="J108" s="4">
        <v>199602000</v>
      </c>
      <c r="K108" s="4">
        <v>231114000</v>
      </c>
      <c r="L108" s="4">
        <v>342212000</v>
      </c>
      <c r="M108" s="4">
        <v>340309000</v>
      </c>
      <c r="N108" s="4">
        <v>319720000</v>
      </c>
      <c r="O108" s="5">
        <v>345528000</v>
      </c>
      <c r="P108" s="4">
        <v>319720000</v>
      </c>
      <c r="Q108" s="4">
        <v>331140000</v>
      </c>
      <c r="R108" s="4">
        <v>318568000</v>
      </c>
      <c r="S108" s="4">
        <v>345528000</v>
      </c>
    </row>
    <row r="109" spans="1:19" ht="16" x14ac:dyDescent="0.2">
      <c r="A109" s="3" t="s">
        <v>118</v>
      </c>
      <c r="B109" s="4">
        <v>69541000</v>
      </c>
      <c r="C109" s="4">
        <v>56729000</v>
      </c>
      <c r="D109" s="4">
        <v>36455000</v>
      </c>
      <c r="E109" s="4">
        <v>104377000</v>
      </c>
      <c r="F109" s="4">
        <v>83931000</v>
      </c>
      <c r="G109" s="4">
        <v>60209000</v>
      </c>
      <c r="H109" s="4">
        <v>42171000</v>
      </c>
      <c r="I109" s="4">
        <v>13320000</v>
      </c>
      <c r="J109" s="4">
        <v>46477000</v>
      </c>
      <c r="K109" s="4">
        <v>40528000</v>
      </c>
      <c r="L109" s="4">
        <v>40474000</v>
      </c>
      <c r="M109" s="4">
        <v>64642000</v>
      </c>
      <c r="N109" s="4">
        <v>63527000</v>
      </c>
      <c r="O109" s="5">
        <v>42239000</v>
      </c>
      <c r="P109" s="4">
        <v>63527000</v>
      </c>
      <c r="Q109" s="4">
        <v>65385000</v>
      </c>
      <c r="R109" s="4">
        <v>58080000</v>
      </c>
      <c r="S109" s="4">
        <v>42239000</v>
      </c>
    </row>
    <row r="110" spans="1:19" ht="16" x14ac:dyDescent="0.2">
      <c r="A110" s="3" t="s">
        <v>119</v>
      </c>
      <c r="B110" s="4">
        <v>281830000</v>
      </c>
      <c r="C110" s="4">
        <v>331050000</v>
      </c>
      <c r="D110" s="4">
        <v>427588000</v>
      </c>
      <c r="E110" s="4">
        <v>269751000</v>
      </c>
      <c r="F110" s="4">
        <v>288216000</v>
      </c>
      <c r="G110" s="4">
        <v>348239000</v>
      </c>
      <c r="H110" s="4">
        <v>401747000</v>
      </c>
      <c r="I110" s="4">
        <v>271272000</v>
      </c>
      <c r="J110" s="4">
        <v>117471000</v>
      </c>
      <c r="K110" s="4">
        <v>160034000</v>
      </c>
      <c r="L110" s="4">
        <v>183366000</v>
      </c>
      <c r="M110" s="4">
        <v>162728000</v>
      </c>
      <c r="N110" s="4">
        <v>140602000</v>
      </c>
      <c r="O110" s="5">
        <v>150953000</v>
      </c>
      <c r="P110" s="4">
        <v>140602000</v>
      </c>
      <c r="Q110" s="4">
        <v>146919000</v>
      </c>
      <c r="R110" s="4">
        <v>148693000</v>
      </c>
      <c r="S110" s="4">
        <v>150953000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3013000</v>
      </c>
      <c r="C114" s="4">
        <v>2150000</v>
      </c>
      <c r="D114" s="4">
        <v>2536000</v>
      </c>
      <c r="E114" s="4">
        <v>3285000</v>
      </c>
      <c r="F114" s="4">
        <v>972000</v>
      </c>
      <c r="G114" s="4">
        <v>2919000</v>
      </c>
      <c r="H114" s="4">
        <v>9994000</v>
      </c>
      <c r="I114" s="4">
        <v>5609000</v>
      </c>
      <c r="J114" s="4">
        <v>35654000</v>
      </c>
      <c r="K114" s="4">
        <v>30552000</v>
      </c>
      <c r="L114" s="4">
        <v>118372000</v>
      </c>
      <c r="M114" s="4">
        <v>112939000</v>
      </c>
      <c r="N114" s="4">
        <v>115591000</v>
      </c>
      <c r="O114" s="5">
        <v>152336000</v>
      </c>
      <c r="P114" s="4">
        <v>115591000</v>
      </c>
      <c r="Q114" s="4">
        <v>118836000</v>
      </c>
      <c r="R114" s="4">
        <v>111795000</v>
      </c>
      <c r="S114" s="4">
        <v>152336000</v>
      </c>
    </row>
    <row r="115" spans="1:19" ht="16" x14ac:dyDescent="0.2">
      <c r="A115" s="3" t="s">
        <v>121</v>
      </c>
      <c r="B115" s="4">
        <v>1111704000</v>
      </c>
      <c r="C115" s="4">
        <v>1104686000</v>
      </c>
      <c r="D115" s="4">
        <v>1137241000</v>
      </c>
      <c r="E115" s="4">
        <v>978100000</v>
      </c>
      <c r="F115" s="4">
        <v>1138233000</v>
      </c>
      <c r="G115" s="4">
        <v>1486434000</v>
      </c>
      <c r="H115" s="4">
        <v>1464216000</v>
      </c>
      <c r="I115" s="4">
        <v>1246854000</v>
      </c>
      <c r="J115" s="4">
        <v>1058438000</v>
      </c>
      <c r="K115" s="4">
        <v>1064098000</v>
      </c>
      <c r="L115" s="4">
        <v>1272194000</v>
      </c>
      <c r="M115" s="4">
        <v>1163664000</v>
      </c>
      <c r="N115" s="4">
        <v>1156592000</v>
      </c>
      <c r="O115" s="5">
        <v>1357608000</v>
      </c>
      <c r="P115" s="4">
        <v>1156592000</v>
      </c>
      <c r="Q115" s="4">
        <v>1247198000</v>
      </c>
      <c r="R115" s="4">
        <v>1276982000</v>
      </c>
      <c r="S115" s="4">
        <v>1357608000</v>
      </c>
    </row>
    <row r="116" spans="1:19" ht="16" x14ac:dyDescent="0.2">
      <c r="A116" s="3" t="s">
        <v>122</v>
      </c>
      <c r="B116" s="4">
        <v>1591178000</v>
      </c>
      <c r="C116" s="4">
        <v>1651076000</v>
      </c>
      <c r="D116" s="4">
        <v>1801117000</v>
      </c>
      <c r="E116" s="4">
        <v>1701330000</v>
      </c>
      <c r="F116" s="4">
        <v>1861037000</v>
      </c>
      <c r="G116" s="4">
        <v>2091939000</v>
      </c>
      <c r="H116" s="4">
        <v>2053448000</v>
      </c>
      <c r="I116" s="4">
        <v>1876288000</v>
      </c>
      <c r="J116" s="4">
        <v>1739062000</v>
      </c>
      <c r="K116" s="4">
        <v>1791756000</v>
      </c>
      <c r="L116" s="4">
        <v>1982748000</v>
      </c>
      <c r="M116" s="4">
        <v>2033025000</v>
      </c>
      <c r="N116" s="4">
        <v>1995028000</v>
      </c>
      <c r="O116" s="5">
        <v>2261059000</v>
      </c>
      <c r="P116" s="4">
        <v>1995028000</v>
      </c>
      <c r="Q116" s="4">
        <v>2132864000</v>
      </c>
      <c r="R116" s="4">
        <v>2119832000</v>
      </c>
      <c r="S116" s="4">
        <v>2261059000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440656000</v>
      </c>
      <c r="C118" s="4">
        <v>463650000</v>
      </c>
      <c r="D118" s="4">
        <v>473249000</v>
      </c>
      <c r="E118" s="4">
        <v>498758000</v>
      </c>
      <c r="F118" s="4">
        <v>515245000</v>
      </c>
      <c r="G118" s="4">
        <v>507792000</v>
      </c>
      <c r="H118" s="4">
        <v>517042000</v>
      </c>
      <c r="I118" s="4">
        <v>543526000</v>
      </c>
      <c r="J118" s="4">
        <v>553537000</v>
      </c>
      <c r="K118" s="4">
        <v>561826000</v>
      </c>
      <c r="L118" s="4">
        <v>523925000</v>
      </c>
      <c r="M118" s="4">
        <v>560902000</v>
      </c>
      <c r="N118" s="4">
        <v>567403000</v>
      </c>
      <c r="O118" s="5">
        <v>645302000</v>
      </c>
      <c r="P118" s="4">
        <v>567403000</v>
      </c>
      <c r="Q118" s="4">
        <v>601791000</v>
      </c>
      <c r="R118" s="4">
        <v>627786000</v>
      </c>
      <c r="S118" s="4">
        <v>645302000</v>
      </c>
    </row>
    <row r="119" spans="1:19" ht="16" x14ac:dyDescent="0.2">
      <c r="A119" s="3" t="s">
        <v>125</v>
      </c>
      <c r="B119" s="4">
        <v>51280000</v>
      </c>
      <c r="C119" s="4">
        <v>51280000</v>
      </c>
      <c r="D119" s="4">
        <v>51280000</v>
      </c>
      <c r="E119" s="4">
        <v>51280000</v>
      </c>
      <c r="F119" s="4">
        <v>51280000</v>
      </c>
      <c r="G119" s="4">
        <v>51280000</v>
      </c>
      <c r="H119" s="4">
        <v>51280000</v>
      </c>
      <c r="I119" s="4">
        <v>51280000</v>
      </c>
      <c r="J119" s="4">
        <v>51280000</v>
      </c>
      <c r="K119" s="4">
        <v>51280000</v>
      </c>
      <c r="L119" s="4">
        <v>51280000</v>
      </c>
      <c r="M119" s="4">
        <v>51280000</v>
      </c>
      <c r="N119" s="4">
        <v>51280000</v>
      </c>
      <c r="O119" s="5">
        <v>51280000</v>
      </c>
      <c r="P119" s="4">
        <v>51280000</v>
      </c>
      <c r="Q119" s="4">
        <v>51280000</v>
      </c>
      <c r="R119" s="4">
        <v>51280000</v>
      </c>
      <c r="S119" s="4">
        <v>51280000</v>
      </c>
    </row>
    <row r="120" spans="1:19" ht="16" x14ac:dyDescent="0.2">
      <c r="A120" s="3" t="s">
        <v>126</v>
      </c>
      <c r="B120" s="4">
        <v>389376000</v>
      </c>
      <c r="C120" s="4">
        <v>412370000</v>
      </c>
      <c r="D120" s="4">
        <v>421969000</v>
      </c>
      <c r="E120" s="4">
        <v>447478000</v>
      </c>
      <c r="F120" s="4">
        <v>463965000</v>
      </c>
      <c r="G120" s="4">
        <v>456512000</v>
      </c>
      <c r="H120" s="4">
        <v>465762000</v>
      </c>
      <c r="I120" s="4">
        <v>492246000</v>
      </c>
      <c r="J120" s="4">
        <v>502257000</v>
      </c>
      <c r="K120" s="4">
        <v>510546000</v>
      </c>
      <c r="L120" s="4">
        <v>472645000</v>
      </c>
      <c r="M120" s="4">
        <v>509622000</v>
      </c>
      <c r="N120" s="4">
        <v>516123000</v>
      </c>
      <c r="O120" s="5">
        <v>594022000</v>
      </c>
      <c r="P120" s="4">
        <v>516123000</v>
      </c>
      <c r="Q120" s="4">
        <v>550511000</v>
      </c>
      <c r="R120" s="4">
        <v>576506000</v>
      </c>
      <c r="S120" s="4">
        <v>594022000</v>
      </c>
    </row>
    <row r="121" spans="1:19" ht="16" x14ac:dyDescent="0.2">
      <c r="A121" s="3" t="s">
        <v>127</v>
      </c>
      <c r="B121" s="4">
        <v>47724000</v>
      </c>
      <c r="C121" s="4">
        <v>74479000</v>
      </c>
      <c r="D121" s="4">
        <v>74980000</v>
      </c>
      <c r="E121" s="4">
        <v>83003000</v>
      </c>
      <c r="F121" s="4">
        <v>360445000</v>
      </c>
      <c r="G121" s="4">
        <v>701771000</v>
      </c>
      <c r="H121" s="4">
        <v>741700000</v>
      </c>
      <c r="I121" s="4">
        <v>739157000</v>
      </c>
      <c r="J121" s="4">
        <v>738494000</v>
      </c>
      <c r="K121" s="4">
        <v>769569000</v>
      </c>
      <c r="L121" s="4">
        <v>990783000</v>
      </c>
      <c r="M121" s="4">
        <v>1007506000</v>
      </c>
      <c r="N121" s="4">
        <v>1047012000</v>
      </c>
      <c r="O121" s="5">
        <v>1058558000</v>
      </c>
      <c r="P121" s="4">
        <v>1047012000</v>
      </c>
      <c r="Q121" s="4">
        <v>1055735000</v>
      </c>
      <c r="R121" s="4">
        <v>1056187000</v>
      </c>
      <c r="S121" s="4">
        <v>1058558000</v>
      </c>
    </row>
    <row r="122" spans="1:19" ht="16" x14ac:dyDescent="0.2">
      <c r="A122" s="3" t="s">
        <v>128</v>
      </c>
      <c r="B122" s="4">
        <v>880733000</v>
      </c>
      <c r="C122" s="4">
        <v>1016754000</v>
      </c>
      <c r="D122" s="4">
        <v>1169216000</v>
      </c>
      <c r="E122" s="4">
        <v>1289713000</v>
      </c>
      <c r="F122" s="4">
        <v>1447911000</v>
      </c>
      <c r="G122" s="4">
        <v>1579794000</v>
      </c>
      <c r="H122" s="4">
        <v>1706539000</v>
      </c>
      <c r="I122" s="4">
        <v>1847819000</v>
      </c>
      <c r="J122" s="4">
        <v>1973514000</v>
      </c>
      <c r="K122" s="4">
        <v>2133328000</v>
      </c>
      <c r="L122" s="4">
        <v>2112734000</v>
      </c>
      <c r="M122" s="4">
        <v>2237848000</v>
      </c>
      <c r="N122" s="4">
        <v>2360055000</v>
      </c>
      <c r="O122" s="5">
        <v>2466012000</v>
      </c>
      <c r="P122" s="4">
        <v>2360055000</v>
      </c>
      <c r="Q122" s="4">
        <v>2397814000</v>
      </c>
      <c r="R122" s="4">
        <v>2432225000</v>
      </c>
      <c r="S122" s="4">
        <v>2466012000</v>
      </c>
    </row>
    <row r="123" spans="1:19" ht="16" x14ac:dyDescent="0.2">
      <c r="A123" s="3" t="s">
        <v>129</v>
      </c>
      <c r="B123" s="4">
        <v>-139328000</v>
      </c>
      <c r="C123" s="4">
        <v>-200944000</v>
      </c>
      <c r="D123" s="4">
        <v>-246711000</v>
      </c>
      <c r="E123" s="4">
        <v>-134158000</v>
      </c>
      <c r="F123" s="4">
        <v>-206838000</v>
      </c>
      <c r="G123" s="4">
        <v>-347072000</v>
      </c>
      <c r="H123" s="4">
        <v>-444007000</v>
      </c>
      <c r="I123" s="4">
        <v>-347965000</v>
      </c>
      <c r="J123" s="4">
        <v>-445122000</v>
      </c>
      <c r="K123" s="4">
        <v>-491612000</v>
      </c>
      <c r="L123" s="4">
        <v>-338551000</v>
      </c>
      <c r="M123" s="4">
        <v>-311324000</v>
      </c>
      <c r="N123" s="4">
        <v>-370031000</v>
      </c>
      <c r="O123" s="5">
        <v>-321813000</v>
      </c>
      <c r="P123" s="4">
        <v>-370031000</v>
      </c>
      <c r="Q123" s="4">
        <v>-329000000</v>
      </c>
      <c r="R123" s="4">
        <v>-324167000</v>
      </c>
      <c r="S123" s="4">
        <v>-321813000</v>
      </c>
    </row>
    <row r="124" spans="1:19" ht="16" x14ac:dyDescent="0.2">
      <c r="A124" s="3" t="s">
        <v>130</v>
      </c>
      <c r="B124" s="4">
        <v>1120956000</v>
      </c>
      <c r="C124" s="4">
        <v>1191891000</v>
      </c>
      <c r="D124" s="4">
        <v>1304790000</v>
      </c>
      <c r="E124" s="4">
        <v>1535765000</v>
      </c>
      <c r="F124" s="4">
        <v>1347415000</v>
      </c>
      <c r="G124" s="4">
        <v>994532000</v>
      </c>
      <c r="H124" s="4">
        <v>988411000</v>
      </c>
      <c r="I124" s="4">
        <v>1214304000</v>
      </c>
      <c r="J124" s="4">
        <v>1224986000</v>
      </c>
      <c r="K124" s="4">
        <v>1322481000</v>
      </c>
      <c r="L124" s="4">
        <v>1243083000</v>
      </c>
      <c r="M124" s="4">
        <v>1400144000</v>
      </c>
      <c r="N124" s="4">
        <v>1436813000</v>
      </c>
      <c r="O124" s="5">
        <v>1621184000</v>
      </c>
      <c r="P124" s="4">
        <v>1436813000</v>
      </c>
      <c r="Q124" s="4">
        <v>1525181000</v>
      </c>
      <c r="R124" s="4">
        <v>1579777000</v>
      </c>
      <c r="S124" s="4">
        <v>1621184000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1120956000</v>
      </c>
      <c r="C126" s="4">
        <v>1191891000</v>
      </c>
      <c r="D126" s="4">
        <v>1304790000</v>
      </c>
      <c r="E126" s="4">
        <v>1535765000</v>
      </c>
      <c r="F126" s="4">
        <v>1347415000</v>
      </c>
      <c r="G126" s="4">
        <v>994532000</v>
      </c>
      <c r="H126" s="4">
        <v>988411000</v>
      </c>
      <c r="I126" s="4">
        <v>1214304000</v>
      </c>
      <c r="J126" s="4">
        <v>1224986000</v>
      </c>
      <c r="K126" s="4">
        <v>1322481000</v>
      </c>
      <c r="L126" s="4">
        <v>1243083000</v>
      </c>
      <c r="M126" s="4">
        <v>1400144000</v>
      </c>
      <c r="N126" s="4">
        <v>1436813000</v>
      </c>
      <c r="O126" s="5">
        <v>1621184000</v>
      </c>
      <c r="P126" s="4">
        <v>1436813000</v>
      </c>
      <c r="Q126" s="4">
        <v>1525181000</v>
      </c>
      <c r="R126" s="4">
        <v>1579777000</v>
      </c>
      <c r="S126" s="4">
        <v>1621184000</v>
      </c>
    </row>
    <row r="127" spans="1:19" ht="16" x14ac:dyDescent="0.2">
      <c r="A127" s="3" t="s">
        <v>133</v>
      </c>
      <c r="B127" s="4">
        <v>2712134000</v>
      </c>
      <c r="C127" s="4">
        <v>2842967000</v>
      </c>
      <c r="D127" s="4">
        <v>3105907000</v>
      </c>
      <c r="E127" s="4">
        <v>3237095000</v>
      </c>
      <c r="F127" s="4">
        <v>3208452000</v>
      </c>
      <c r="G127" s="4">
        <v>3086471000</v>
      </c>
      <c r="H127" s="4">
        <v>3041859000</v>
      </c>
      <c r="I127" s="4">
        <v>3090592000</v>
      </c>
      <c r="J127" s="4">
        <v>2964048000</v>
      </c>
      <c r="K127" s="4">
        <v>3114237000</v>
      </c>
      <c r="L127" s="4">
        <v>3225831000</v>
      </c>
      <c r="M127" s="4">
        <v>3433169000</v>
      </c>
      <c r="N127" s="4">
        <v>3431841000</v>
      </c>
      <c r="O127" s="5">
        <v>3882243000</v>
      </c>
      <c r="P127" s="4">
        <v>3431841000</v>
      </c>
      <c r="Q127" s="4">
        <v>3658045000</v>
      </c>
      <c r="R127" s="4">
        <v>3699609000</v>
      </c>
      <c r="S127" s="4">
        <v>3882243000</v>
      </c>
    </row>
    <row r="128" spans="1:19" ht="16" x14ac:dyDescent="0.2">
      <c r="A128" s="30" t="s">
        <v>134</v>
      </c>
      <c r="B128" s="27">
        <v>45378000</v>
      </c>
      <c r="C128" s="27">
        <v>45185000</v>
      </c>
      <c r="D128" s="27">
        <v>45302000</v>
      </c>
      <c r="E128" s="27">
        <v>45359000</v>
      </c>
      <c r="F128" s="27">
        <v>41443000</v>
      </c>
      <c r="G128" s="27">
        <v>36709000</v>
      </c>
      <c r="H128" s="27">
        <v>35866000</v>
      </c>
      <c r="I128" s="27">
        <v>35783000</v>
      </c>
      <c r="J128" s="27">
        <v>34798000</v>
      </c>
      <c r="K128" s="27">
        <v>34695000</v>
      </c>
      <c r="L128" s="27">
        <v>32166000</v>
      </c>
      <c r="M128" s="27">
        <v>33943000</v>
      </c>
      <c r="N128" s="27">
        <v>31782000</v>
      </c>
      <c r="O128" s="29">
        <v>31829000</v>
      </c>
      <c r="P128" s="27">
        <v>31782000</v>
      </c>
      <c r="Q128" s="27">
        <v>31767000</v>
      </c>
      <c r="R128" s="27">
        <v>31852000</v>
      </c>
      <c r="S128" s="27">
        <v>31829000</v>
      </c>
    </row>
    <row r="129" spans="1:19" ht="16" x14ac:dyDescent="0.2">
      <c r="A129" s="13" t="s">
        <v>197</v>
      </c>
      <c r="B129" s="10"/>
      <c r="C129" s="19">
        <f>(C128/B128)-1</f>
        <v>-4.2531623253558859E-3</v>
      </c>
      <c r="D129" s="19">
        <f>(D128/C128)-1</f>
        <v>2.5893548744051476E-3</v>
      </c>
      <c r="E129" s="19">
        <f>(E128/D128)-1</f>
        <v>1.258222595028835E-3</v>
      </c>
      <c r="F129" s="19">
        <f t="shared" ref="F129:N129" si="6">(F128/E128)-1</f>
        <v>-8.633347296016225E-2</v>
      </c>
      <c r="G129" s="19">
        <f t="shared" si="6"/>
        <v>-0.11422918225031975</v>
      </c>
      <c r="H129" s="19">
        <f t="shared" si="6"/>
        <v>-2.2964395652292358E-2</v>
      </c>
      <c r="I129" s="19">
        <f t="shared" si="6"/>
        <v>-2.3141694083532727E-3</v>
      </c>
      <c r="J129" s="19">
        <f t="shared" si="6"/>
        <v>-2.7527037978928526E-2</v>
      </c>
      <c r="K129" s="19">
        <f t="shared" si="6"/>
        <v>-2.9599402264497421E-3</v>
      </c>
      <c r="L129" s="19">
        <f t="shared" si="6"/>
        <v>-7.289234760051877E-2</v>
      </c>
      <c r="M129" s="19">
        <f t="shared" si="6"/>
        <v>5.5244668283280562E-2</v>
      </c>
      <c r="N129" s="19">
        <f t="shared" si="6"/>
        <v>-6.3665556963144132E-2</v>
      </c>
      <c r="O129" s="19">
        <f>(O128/N128)-1</f>
        <v>1.478824491850661E-3</v>
      </c>
      <c r="P129" s="19"/>
      <c r="Q129" s="19">
        <f>(Q128/P128)-1</f>
        <v>-4.719652633565774E-4</v>
      </c>
      <c r="R129" s="19">
        <f>(R128/Q128)-1</f>
        <v>2.6757326785658009E-3</v>
      </c>
      <c r="S129" s="19">
        <f>(S128/R128)-1</f>
        <v>-7.2208966469922142E-4</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652295000</v>
      </c>
      <c r="C131" s="4">
        <v>611768000</v>
      </c>
      <c r="D131" s="4">
        <v>615781000</v>
      </c>
      <c r="E131" s="4">
        <v>552067000</v>
      </c>
      <c r="F131" s="4">
        <v>642744000</v>
      </c>
      <c r="G131" s="4">
        <v>765331000</v>
      </c>
      <c r="H131" s="4">
        <v>686722000</v>
      </c>
      <c r="I131" s="4">
        <v>588964000</v>
      </c>
      <c r="J131" s="4">
        <v>737240000</v>
      </c>
      <c r="K131" s="4">
        <v>740685000</v>
      </c>
      <c r="L131" s="4">
        <v>845749000</v>
      </c>
      <c r="M131" s="4">
        <v>804121000</v>
      </c>
      <c r="N131" s="4">
        <v>733893000</v>
      </c>
      <c r="O131" s="5">
        <v>890264000</v>
      </c>
      <c r="P131" s="4">
        <v>733893000</v>
      </c>
      <c r="Q131" s="4">
        <v>773811000</v>
      </c>
      <c r="R131" s="4">
        <v>852130000</v>
      </c>
      <c r="S131" s="4">
        <v>890264000</v>
      </c>
    </row>
    <row r="132" spans="1:19" ht="16" x14ac:dyDescent="0.2">
      <c r="A132" s="3" t="s">
        <v>137</v>
      </c>
      <c r="B132" s="6">
        <v>58.19</v>
      </c>
      <c r="C132" s="6">
        <v>51.33</v>
      </c>
      <c r="D132" s="6">
        <v>47.19</v>
      </c>
      <c r="E132" s="6">
        <v>35.950000000000003</v>
      </c>
      <c r="F132" s="6">
        <v>47.7</v>
      </c>
      <c r="G132" s="6">
        <v>76.95</v>
      </c>
      <c r="H132" s="6">
        <v>69.48</v>
      </c>
      <c r="I132" s="6">
        <v>48.5</v>
      </c>
      <c r="J132" s="6">
        <v>60.18</v>
      </c>
      <c r="K132" s="6">
        <v>56.01</v>
      </c>
      <c r="L132" s="6">
        <v>68.040000000000006</v>
      </c>
      <c r="M132" s="6">
        <v>57.43</v>
      </c>
      <c r="N132" s="6">
        <v>51.08</v>
      </c>
      <c r="O132" s="7">
        <v>54.91</v>
      </c>
      <c r="P132" s="6">
        <v>51.08</v>
      </c>
      <c r="Q132" s="6">
        <v>50.74</v>
      </c>
      <c r="R132" s="6">
        <v>53.94</v>
      </c>
      <c r="S132" s="6">
        <v>54.91</v>
      </c>
    </row>
    <row r="133" spans="1:19" ht="16" x14ac:dyDescent="0.2">
      <c r="A133" s="3" t="s">
        <v>138</v>
      </c>
      <c r="B133" s="6">
        <v>11.67</v>
      </c>
      <c r="C133" s="6">
        <v>13.57</v>
      </c>
      <c r="D133" s="6">
        <v>15.47</v>
      </c>
      <c r="E133" s="6">
        <v>24.77</v>
      </c>
      <c r="F133" s="6">
        <v>18.11</v>
      </c>
      <c r="G133" s="6">
        <v>5.15</v>
      </c>
      <c r="H133" s="6">
        <v>6.16</v>
      </c>
      <c r="I133" s="4">
        <v>15</v>
      </c>
      <c r="J133" s="6">
        <v>16.04</v>
      </c>
      <c r="K133" s="6">
        <v>20.38</v>
      </c>
      <c r="L133" s="6">
        <v>14.5</v>
      </c>
      <c r="M133" s="6">
        <v>17.87</v>
      </c>
      <c r="N133" s="6">
        <v>21.49</v>
      </c>
      <c r="O133" s="7">
        <v>23.96</v>
      </c>
      <c r="P133" s="6">
        <v>21.49</v>
      </c>
      <c r="Q133" s="6">
        <v>22.43</v>
      </c>
      <c r="R133" s="6">
        <v>24.04</v>
      </c>
      <c r="S133" s="6">
        <v>23.96</v>
      </c>
    </row>
    <row r="134" spans="1:19" ht="16" x14ac:dyDescent="0.2">
      <c r="A134" s="3" t="s">
        <v>139</v>
      </c>
      <c r="B134" s="6">
        <v>2.7</v>
      </c>
      <c r="C134" s="6">
        <v>2.5299999999999998</v>
      </c>
      <c r="D134" s="6">
        <v>2.33</v>
      </c>
      <c r="E134" s="6">
        <v>2.2799999999999998</v>
      </c>
      <c r="F134" s="6">
        <v>2.2999999999999998</v>
      </c>
      <c r="G134" s="6">
        <v>2.69</v>
      </c>
      <c r="H134" s="6">
        <v>2.75</v>
      </c>
      <c r="I134" s="6">
        <v>2.58</v>
      </c>
      <c r="J134" s="6">
        <v>2.17</v>
      </c>
      <c r="K134" s="6">
        <v>2.2400000000000002</v>
      </c>
      <c r="L134" s="6">
        <v>2.27</v>
      </c>
      <c r="M134" s="6">
        <v>1.98</v>
      </c>
      <c r="N134" s="6">
        <v>2.1</v>
      </c>
      <c r="O134" s="7">
        <v>2.2799999999999998</v>
      </c>
      <c r="P134" s="6">
        <v>2.1</v>
      </c>
      <c r="Q134" s="6">
        <v>2.1800000000000002</v>
      </c>
      <c r="R134" s="6">
        <v>2.29</v>
      </c>
      <c r="S134" s="6">
        <v>2.2799999999999998</v>
      </c>
    </row>
    <row r="135" spans="1:19" ht="16" x14ac:dyDescent="0.2">
      <c r="A135" s="3" t="s">
        <v>140</v>
      </c>
      <c r="B135" s="6">
        <v>80.349999999999994</v>
      </c>
      <c r="C135" s="6">
        <v>98.06</v>
      </c>
      <c r="D135" s="6">
        <v>124.57</v>
      </c>
      <c r="E135" s="6">
        <v>153.99</v>
      </c>
      <c r="F135" s="6">
        <v>180.48</v>
      </c>
      <c r="G135" s="4">
        <v>176</v>
      </c>
      <c r="H135" s="6">
        <v>175.7</v>
      </c>
      <c r="I135" s="6">
        <v>171.13</v>
      </c>
      <c r="J135" s="6">
        <v>161.05000000000001</v>
      </c>
      <c r="K135" s="6">
        <v>160.78</v>
      </c>
      <c r="L135" s="6">
        <v>177.83</v>
      </c>
      <c r="M135" s="6">
        <v>190.59</v>
      </c>
      <c r="N135" s="6">
        <v>179.34</v>
      </c>
      <c r="O135" s="7">
        <v>152.27000000000001</v>
      </c>
      <c r="P135" s="6">
        <v>179.34</v>
      </c>
      <c r="Q135" s="6">
        <v>185.59</v>
      </c>
      <c r="R135" s="6">
        <v>147.94</v>
      </c>
      <c r="S135" s="6">
        <v>152.27000000000001</v>
      </c>
    </row>
    <row r="136" spans="1:19" ht="16" x14ac:dyDescent="0.2">
      <c r="A136" s="3" t="s">
        <v>141</v>
      </c>
      <c r="B136" s="4" t="s">
        <v>24</v>
      </c>
      <c r="C136" s="4" t="s">
        <v>24</v>
      </c>
      <c r="D136" s="4">
        <v>10976</v>
      </c>
      <c r="E136" s="4">
        <v>11152</v>
      </c>
      <c r="F136" s="4">
        <v>11031</v>
      </c>
      <c r="G136" s="4" t="s">
        <v>24</v>
      </c>
      <c r="H136" s="4" t="s">
        <v>24</v>
      </c>
      <c r="I136" s="4">
        <v>10675</v>
      </c>
      <c r="J136" s="4">
        <v>11787</v>
      </c>
      <c r="K136" s="4">
        <v>12809</v>
      </c>
      <c r="L136" s="4" t="s">
        <v>24</v>
      </c>
      <c r="M136" s="4" t="s">
        <v>24</v>
      </c>
      <c r="N136" s="4" t="s">
        <v>24</v>
      </c>
      <c r="O136" s="5" t="s">
        <v>24</v>
      </c>
      <c r="P136" s="4" t="s">
        <v>24</v>
      </c>
      <c r="Q136" s="4" t="s">
        <v>24</v>
      </c>
      <c r="R136" s="4" t="s">
        <v>24</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108094000</v>
      </c>
      <c r="C139" s="4">
        <v>136021000</v>
      </c>
      <c r="D139" s="4">
        <v>152462000</v>
      </c>
      <c r="E139" s="4">
        <v>120497000</v>
      </c>
      <c r="F139" s="4">
        <v>158198000</v>
      </c>
      <c r="G139" s="4">
        <v>131883000</v>
      </c>
      <c r="H139" s="4">
        <v>123633000</v>
      </c>
      <c r="I139" s="4">
        <v>140410000</v>
      </c>
      <c r="J139" s="4">
        <v>96628000</v>
      </c>
      <c r="K139" s="4">
        <v>179748000</v>
      </c>
      <c r="L139" s="4">
        <v>9205000</v>
      </c>
      <c r="M139" s="4">
        <v>157220000</v>
      </c>
      <c r="N139" s="4">
        <v>155177000</v>
      </c>
      <c r="O139" s="5">
        <v>160832000</v>
      </c>
      <c r="P139" s="4">
        <v>29416000</v>
      </c>
      <c r="Q139" s="4">
        <v>46016000</v>
      </c>
      <c r="R139" s="4">
        <v>43013000</v>
      </c>
      <c r="S139" s="4">
        <v>42387000</v>
      </c>
    </row>
    <row r="140" spans="1:19" ht="16" x14ac:dyDescent="0.2">
      <c r="A140" s="3" t="s">
        <v>143</v>
      </c>
      <c r="B140" s="4">
        <v>91216000</v>
      </c>
      <c r="C140" s="4">
        <v>96327000</v>
      </c>
      <c r="D140" s="4">
        <v>100816000</v>
      </c>
      <c r="E140" s="4">
        <v>108073000</v>
      </c>
      <c r="F140" s="4">
        <v>109259000</v>
      </c>
      <c r="G140" s="4">
        <v>103609000</v>
      </c>
      <c r="H140" s="4">
        <v>98732000</v>
      </c>
      <c r="I140" s="4">
        <v>90167000</v>
      </c>
      <c r="J140" s="4">
        <v>88572000</v>
      </c>
      <c r="K140" s="4">
        <v>85260000</v>
      </c>
      <c r="L140" s="4">
        <v>86972000</v>
      </c>
      <c r="M140" s="4">
        <v>90159000</v>
      </c>
      <c r="N140" s="4">
        <v>88389000</v>
      </c>
      <c r="O140" s="5">
        <v>87727000</v>
      </c>
      <c r="P140" s="4">
        <v>22222000</v>
      </c>
      <c r="Q140" s="4">
        <v>21384000</v>
      </c>
      <c r="R140" s="4">
        <v>21288000</v>
      </c>
      <c r="S140" s="4">
        <v>22833000</v>
      </c>
    </row>
    <row r="141" spans="1:19" ht="16" x14ac:dyDescent="0.2">
      <c r="A141" s="3" t="s">
        <v>144</v>
      </c>
      <c r="B141" s="4">
        <v>72596000</v>
      </c>
      <c r="C141" s="4">
        <v>83267000</v>
      </c>
      <c r="D141" s="4">
        <v>74231000</v>
      </c>
      <c r="E141" s="4">
        <v>44224000</v>
      </c>
      <c r="F141" s="4">
        <v>27472000</v>
      </c>
      <c r="G141" s="4">
        <v>25891000</v>
      </c>
      <c r="H141" s="4">
        <v>20959000</v>
      </c>
      <c r="I141" s="4">
        <v>33238000</v>
      </c>
      <c r="J141" s="4">
        <v>70871000</v>
      </c>
      <c r="K141" s="4">
        <v>6105000</v>
      </c>
      <c r="L141" s="4">
        <v>156323000</v>
      </c>
      <c r="M141" s="4">
        <v>17868000</v>
      </c>
      <c r="N141" s="4">
        <v>43361000</v>
      </c>
      <c r="O141" s="5">
        <v>-1031000</v>
      </c>
      <c r="P141" s="4">
        <v>20821000</v>
      </c>
      <c r="Q141" s="4">
        <v>-6726000</v>
      </c>
      <c r="R141" s="4">
        <v>-2998000</v>
      </c>
      <c r="S141" s="4">
        <v>-12128000</v>
      </c>
    </row>
    <row r="142" spans="1:19" ht="16" x14ac:dyDescent="0.2">
      <c r="A142" s="30" t="s">
        <v>145</v>
      </c>
      <c r="B142" s="27">
        <v>5445000</v>
      </c>
      <c r="C142" s="27">
        <v>6952000</v>
      </c>
      <c r="D142" s="27">
        <v>6226000</v>
      </c>
      <c r="E142" s="27">
        <v>6620000</v>
      </c>
      <c r="F142" s="27">
        <v>7189000</v>
      </c>
      <c r="G142" s="27">
        <v>5074000</v>
      </c>
      <c r="H142" s="27">
        <v>3271000</v>
      </c>
      <c r="I142" s="27">
        <v>4582000</v>
      </c>
      <c r="J142" s="27">
        <v>5804000</v>
      </c>
      <c r="K142" s="27">
        <v>6464000</v>
      </c>
      <c r="L142" s="27">
        <v>5661000</v>
      </c>
      <c r="M142" s="27">
        <v>7461000</v>
      </c>
      <c r="N142" s="27">
        <v>8882000</v>
      </c>
      <c r="O142" s="29">
        <v>10256000</v>
      </c>
      <c r="P142" s="27">
        <v>2135000</v>
      </c>
      <c r="Q142" s="27">
        <v>2974000</v>
      </c>
      <c r="R142" s="27">
        <v>2791000</v>
      </c>
      <c r="S142" s="27">
        <v>2356000</v>
      </c>
    </row>
    <row r="143" spans="1:19" ht="16" x14ac:dyDescent="0.2">
      <c r="A143" s="12" t="s">
        <v>198</v>
      </c>
      <c r="B143" s="19">
        <f t="shared" ref="B143:S143" si="7">B142/B2</f>
        <v>2.5753789046906424E-3</v>
      </c>
      <c r="C143" s="19">
        <f t="shared" si="7"/>
        <v>2.9828204644138192E-3</v>
      </c>
      <c r="D143" s="19">
        <f t="shared" si="7"/>
        <v>2.5211213766472731E-3</v>
      </c>
      <c r="E143" s="19">
        <f t="shared" si="7"/>
        <v>2.536096273585791E-3</v>
      </c>
      <c r="F143" s="19">
        <f t="shared" si="7"/>
        <v>2.7144844877160985E-3</v>
      </c>
      <c r="G143" s="19">
        <f t="shared" si="7"/>
        <v>2.00908165091553E-3</v>
      </c>
      <c r="H143" s="19">
        <f t="shared" si="7"/>
        <v>1.3561714091205534E-3</v>
      </c>
      <c r="I143" s="19">
        <f t="shared" si="7"/>
        <v>1.8346170046814364E-3</v>
      </c>
      <c r="J143" s="19">
        <f t="shared" si="7"/>
        <v>2.1421179360671542E-3</v>
      </c>
      <c r="K143" s="19">
        <f t="shared" si="7"/>
        <v>2.2253872480215431E-3</v>
      </c>
      <c r="L143" s="19">
        <f t="shared" si="7"/>
        <v>1.9625217624631053E-3</v>
      </c>
      <c r="M143" s="19">
        <f t="shared" si="7"/>
        <v>2.6160653269485584E-3</v>
      </c>
      <c r="N143" s="19">
        <f t="shared" si="7"/>
        <v>2.9257690684742618E-3</v>
      </c>
      <c r="O143" s="19">
        <f t="shared" si="7"/>
        <v>3.1899772011184826E-3</v>
      </c>
      <c r="P143" s="19">
        <f t="shared" si="7"/>
        <v>2.7799515363952296E-3</v>
      </c>
      <c r="Q143" s="19">
        <f t="shared" si="7"/>
        <v>3.9126276307289935E-3</v>
      </c>
      <c r="R143" s="19">
        <f t="shared" si="7"/>
        <v>3.3353569345787246E-3</v>
      </c>
      <c r="S143" s="19">
        <f t="shared" si="7"/>
        <v>2.7711909063535081E-3</v>
      </c>
    </row>
    <row r="144" spans="1:19" ht="16" x14ac:dyDescent="0.2">
      <c r="A144" s="3" t="s">
        <v>146</v>
      </c>
      <c r="B144" s="4">
        <v>11314000</v>
      </c>
      <c r="C144" s="4">
        <v>2923000</v>
      </c>
      <c r="D144" s="4">
        <v>-4113000</v>
      </c>
      <c r="E144" s="4">
        <v>-8216000</v>
      </c>
      <c r="F144" s="4">
        <v>5021000</v>
      </c>
      <c r="G144" s="4">
        <v>12991000</v>
      </c>
      <c r="H144" s="4">
        <v>4248000</v>
      </c>
      <c r="I144" s="4">
        <v>10758000</v>
      </c>
      <c r="J144" s="4">
        <v>30612000</v>
      </c>
      <c r="K144" s="4">
        <v>-4598000</v>
      </c>
      <c r="L144" s="4">
        <v>-40845000</v>
      </c>
      <c r="M144" s="4">
        <v>8162000</v>
      </c>
      <c r="N144" s="4">
        <v>11739000</v>
      </c>
      <c r="O144" s="5">
        <v>-22585000</v>
      </c>
      <c r="P144" s="4">
        <v>4095000</v>
      </c>
      <c r="Q144" s="4">
        <v>-1342000</v>
      </c>
      <c r="R144" s="4">
        <v>-8628000</v>
      </c>
      <c r="S144" s="4">
        <v>-16710000</v>
      </c>
    </row>
    <row r="145" spans="1:19" ht="16" x14ac:dyDescent="0.2">
      <c r="A145" s="3" t="s">
        <v>147</v>
      </c>
      <c r="B145" s="4" t="s">
        <v>24</v>
      </c>
      <c r="C145" s="4" t="s">
        <v>24</v>
      </c>
      <c r="D145" s="4" t="s">
        <v>24</v>
      </c>
      <c r="E145" s="4">
        <v>38200000</v>
      </c>
      <c r="F145" s="4" t="s">
        <v>24</v>
      </c>
      <c r="G145" s="4" t="s">
        <v>24</v>
      </c>
      <c r="H145" s="4" t="s">
        <v>24</v>
      </c>
      <c r="I145" s="4" t="s">
        <v>24</v>
      </c>
      <c r="J145" s="4" t="s">
        <v>24</v>
      </c>
      <c r="K145" s="4" t="s">
        <v>24</v>
      </c>
      <c r="L145" s="4">
        <v>60547000</v>
      </c>
      <c r="M145" s="4">
        <v>1500000</v>
      </c>
      <c r="N145" s="4">
        <v>21651000</v>
      </c>
      <c r="O145" s="5">
        <v>3970000</v>
      </c>
      <c r="P145" s="4">
        <v>2316000</v>
      </c>
      <c r="Q145" s="4" t="s">
        <v>24</v>
      </c>
      <c r="R145" s="4">
        <v>1219000</v>
      </c>
      <c r="S145" s="4">
        <v>435000</v>
      </c>
    </row>
    <row r="146" spans="1:19" ht="16" x14ac:dyDescent="0.2">
      <c r="A146" s="3" t="s">
        <v>148</v>
      </c>
      <c r="B146" s="4">
        <v>55837000</v>
      </c>
      <c r="C146" s="4">
        <v>73392000</v>
      </c>
      <c r="D146" s="4">
        <v>72118000</v>
      </c>
      <c r="E146" s="4">
        <v>7620000</v>
      </c>
      <c r="F146" s="4">
        <v>15262000</v>
      </c>
      <c r="G146" s="4">
        <v>7826000</v>
      </c>
      <c r="H146" s="4">
        <v>13440000</v>
      </c>
      <c r="I146" s="4">
        <v>17898000</v>
      </c>
      <c r="J146" s="4">
        <v>34455000</v>
      </c>
      <c r="K146" s="4">
        <v>4239000</v>
      </c>
      <c r="L146" s="4">
        <v>130960000</v>
      </c>
      <c r="M146" s="4">
        <v>745000</v>
      </c>
      <c r="N146" s="4">
        <v>1089000</v>
      </c>
      <c r="O146" s="5">
        <v>7328000</v>
      </c>
      <c r="P146" s="4">
        <v>12275000</v>
      </c>
      <c r="Q146" s="4">
        <v>-8358000</v>
      </c>
      <c r="R146" s="4">
        <v>1620000</v>
      </c>
      <c r="S146" s="4">
        <v>1791000</v>
      </c>
    </row>
    <row r="147" spans="1:19" ht="16" x14ac:dyDescent="0.2">
      <c r="A147" s="3" t="s">
        <v>149</v>
      </c>
      <c r="B147" s="4">
        <v>-76650000</v>
      </c>
      <c r="C147" s="4">
        <v>-119425000</v>
      </c>
      <c r="D147" s="4">
        <v>-113169000</v>
      </c>
      <c r="E147" s="4">
        <v>-21517000</v>
      </c>
      <c r="F147" s="4">
        <v>-7827000</v>
      </c>
      <c r="G147" s="4">
        <v>73163000</v>
      </c>
      <c r="H147" s="4">
        <v>-27470000</v>
      </c>
      <c r="I147" s="4">
        <v>-46035000</v>
      </c>
      <c r="J147" s="4">
        <v>-153664000</v>
      </c>
      <c r="K147" s="4">
        <v>-89690000</v>
      </c>
      <c r="L147" s="4">
        <v>26677000</v>
      </c>
      <c r="M147" s="4">
        <v>27979000</v>
      </c>
      <c r="N147" s="4">
        <v>-40125000</v>
      </c>
      <c r="O147" s="5">
        <v>-202087000</v>
      </c>
      <c r="P147" s="4">
        <v>-9921000</v>
      </c>
      <c r="Q147" s="4">
        <v>-52591000</v>
      </c>
      <c r="R147" s="4">
        <v>-102402000</v>
      </c>
      <c r="S147" s="4">
        <v>-37173000</v>
      </c>
    </row>
    <row r="148" spans="1:19" ht="16" x14ac:dyDescent="0.2">
      <c r="A148" s="3" t="s">
        <v>150</v>
      </c>
      <c r="B148" s="4">
        <v>-70076000</v>
      </c>
      <c r="C148" s="4">
        <v>-32723000</v>
      </c>
      <c r="D148" s="4">
        <v>-57360000</v>
      </c>
      <c r="E148" s="4">
        <v>-58368000</v>
      </c>
      <c r="F148" s="4">
        <v>23707000</v>
      </c>
      <c r="G148" s="4">
        <v>60616000</v>
      </c>
      <c r="H148" s="4">
        <v>1672000</v>
      </c>
      <c r="I148" s="4">
        <v>-44558000</v>
      </c>
      <c r="J148" s="4">
        <v>-67621000</v>
      </c>
      <c r="K148" s="4">
        <v>-82818000</v>
      </c>
      <c r="L148" s="4">
        <v>111525000</v>
      </c>
      <c r="M148" s="4">
        <v>-73459000</v>
      </c>
      <c r="N148" s="4">
        <v>-86867000</v>
      </c>
      <c r="O148" s="5">
        <v>-191458000</v>
      </c>
      <c r="P148" s="4">
        <v>-28199000</v>
      </c>
      <c r="Q148" s="4">
        <v>-53957000</v>
      </c>
      <c r="R148" s="4">
        <v>-22719000</v>
      </c>
      <c r="S148" s="4">
        <v>-86583000</v>
      </c>
    </row>
    <row r="149" spans="1:19" ht="16" x14ac:dyDescent="0.2">
      <c r="A149" s="3" t="s">
        <v>151</v>
      </c>
      <c r="B149" s="4">
        <v>10220000</v>
      </c>
      <c r="C149" s="4">
        <v>-56382000</v>
      </c>
      <c r="D149" s="4">
        <v>-37274000</v>
      </c>
      <c r="E149" s="4">
        <v>-6871000</v>
      </c>
      <c r="F149" s="4">
        <v>23666000</v>
      </c>
      <c r="G149" s="4">
        <v>3821000</v>
      </c>
      <c r="H149" s="4">
        <v>12644000</v>
      </c>
      <c r="I149" s="4">
        <v>-5999000</v>
      </c>
      <c r="J149" s="4">
        <v>-32451000</v>
      </c>
      <c r="K149" s="4">
        <v>-96652000</v>
      </c>
      <c r="L149" s="4">
        <v>-99015000</v>
      </c>
      <c r="M149" s="4">
        <v>19576000</v>
      </c>
      <c r="N149" s="4">
        <v>-28677000</v>
      </c>
      <c r="O149" s="5">
        <v>-124681000</v>
      </c>
      <c r="P149" s="4">
        <v>-21899000</v>
      </c>
      <c r="Q149" s="4">
        <v>-44435000</v>
      </c>
      <c r="R149" s="4">
        <v>-27911000</v>
      </c>
      <c r="S149" s="4">
        <v>-30436000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-7295000</v>
      </c>
      <c r="C151" s="4">
        <v>-23152000</v>
      </c>
      <c r="D151" s="4">
        <v>-55736000</v>
      </c>
      <c r="E151" s="4">
        <v>11596000</v>
      </c>
      <c r="F151" s="4">
        <v>-3825000</v>
      </c>
      <c r="G151" s="4">
        <v>-8404000</v>
      </c>
      <c r="H151" s="4">
        <v>-18067000</v>
      </c>
      <c r="I151" s="4">
        <v>37955000</v>
      </c>
      <c r="J151" s="4">
        <v>55133000</v>
      </c>
      <c r="K151" s="4">
        <v>62262000</v>
      </c>
      <c r="L151" s="4">
        <v>-105545000</v>
      </c>
      <c r="M151" s="4">
        <v>27463000</v>
      </c>
      <c r="N151" s="4">
        <v>41974000</v>
      </c>
      <c r="O151" s="5">
        <v>30549000</v>
      </c>
      <c r="P151" s="4">
        <v>31164000</v>
      </c>
      <c r="Q151" s="4">
        <v>-32233000</v>
      </c>
      <c r="R151" s="4">
        <v>13139000</v>
      </c>
      <c r="S151" s="4">
        <v>18479000</v>
      </c>
    </row>
    <row r="152" spans="1:19" ht="16" x14ac:dyDescent="0.2">
      <c r="A152" s="3" t="s">
        <v>154</v>
      </c>
      <c r="B152" s="4">
        <v>-9499000</v>
      </c>
      <c r="C152" s="4">
        <v>-7168000</v>
      </c>
      <c r="D152" s="4">
        <v>37201000</v>
      </c>
      <c r="E152" s="4">
        <v>32126000</v>
      </c>
      <c r="F152" s="4">
        <v>-51375000</v>
      </c>
      <c r="G152" s="4">
        <v>17130000</v>
      </c>
      <c r="H152" s="4">
        <v>-23719000</v>
      </c>
      <c r="I152" s="4">
        <v>-33433000</v>
      </c>
      <c r="J152" s="4">
        <v>-108725000</v>
      </c>
      <c r="K152" s="4">
        <v>27518000</v>
      </c>
      <c r="L152" s="4">
        <v>119712000</v>
      </c>
      <c r="M152" s="4">
        <v>54399000</v>
      </c>
      <c r="N152" s="4">
        <v>33445000</v>
      </c>
      <c r="O152" s="5">
        <v>83503000</v>
      </c>
      <c r="P152" s="4">
        <v>9013000</v>
      </c>
      <c r="Q152" s="4">
        <v>78034000</v>
      </c>
      <c r="R152" s="4">
        <v>-64911000</v>
      </c>
      <c r="S152" s="4">
        <v>61367000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195256000</v>
      </c>
      <c r="C154" s="4">
        <v>196190000</v>
      </c>
      <c r="D154" s="4">
        <v>214340000</v>
      </c>
      <c r="E154" s="4">
        <v>251277000</v>
      </c>
      <c r="F154" s="4">
        <v>287102000</v>
      </c>
      <c r="G154" s="4">
        <v>334546000</v>
      </c>
      <c r="H154" s="4">
        <v>215854000</v>
      </c>
      <c r="I154" s="4">
        <v>217780000</v>
      </c>
      <c r="J154" s="4">
        <v>102407000</v>
      </c>
      <c r="K154" s="4">
        <v>181423000</v>
      </c>
      <c r="L154" s="4">
        <v>279177000</v>
      </c>
      <c r="M154" s="4">
        <v>293226000</v>
      </c>
      <c r="N154" s="4">
        <v>246802000</v>
      </c>
      <c r="O154" s="5">
        <v>45441000</v>
      </c>
      <c r="P154" s="4">
        <v>62538000</v>
      </c>
      <c r="Q154" s="4">
        <v>8083000</v>
      </c>
      <c r="R154" s="4">
        <v>-41099000</v>
      </c>
      <c r="S154" s="4">
        <v>15919000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v>19702000</v>
      </c>
      <c r="P156" s="4" t="s">
        <v>24</v>
      </c>
      <c r="Q156" s="4">
        <v>7432000</v>
      </c>
      <c r="R156" s="4">
        <v>11393000</v>
      </c>
      <c r="S156" s="4">
        <v>877000</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v>19702000</v>
      </c>
      <c r="P157" s="4" t="s">
        <v>24</v>
      </c>
      <c r="Q157" s="4">
        <v>7432000</v>
      </c>
      <c r="R157" s="4">
        <v>11393000</v>
      </c>
      <c r="S157" s="4">
        <v>877000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-65949000</v>
      </c>
      <c r="C159" s="4">
        <v>-83695000</v>
      </c>
      <c r="D159" s="4">
        <v>-107030000</v>
      </c>
      <c r="E159" s="4">
        <v>-93174000</v>
      </c>
      <c r="F159" s="4">
        <v>-78771000</v>
      </c>
      <c r="G159" s="4">
        <v>-80693000</v>
      </c>
      <c r="H159" s="4">
        <v>-67208000</v>
      </c>
      <c r="I159" s="4">
        <v>-75798000</v>
      </c>
      <c r="J159" s="4">
        <v>-94517000</v>
      </c>
      <c r="K159" s="4">
        <v>-118422000</v>
      </c>
      <c r="L159" s="4">
        <v>-88284000</v>
      </c>
      <c r="M159" s="4">
        <v>-128734000</v>
      </c>
      <c r="N159" s="4">
        <v>-139431000</v>
      </c>
      <c r="O159" s="5">
        <v>-157792000</v>
      </c>
      <c r="P159" s="4">
        <v>-32718000</v>
      </c>
      <c r="Q159" s="4">
        <v>-30125000</v>
      </c>
      <c r="R159" s="4">
        <v>-59618000</v>
      </c>
      <c r="S159" s="4">
        <v>-35331000</v>
      </c>
    </row>
    <row r="160" spans="1:19" ht="16" x14ac:dyDescent="0.2">
      <c r="A160" s="3" t="s">
        <v>162</v>
      </c>
      <c r="B160" s="4">
        <v>-65949000</v>
      </c>
      <c r="C160" s="4">
        <v>-83695000</v>
      </c>
      <c r="D160" s="4">
        <v>-107030000</v>
      </c>
      <c r="E160" s="4">
        <v>-93174000</v>
      </c>
      <c r="F160" s="4">
        <v>-78771000</v>
      </c>
      <c r="G160" s="4">
        <v>-80693000</v>
      </c>
      <c r="H160" s="4">
        <v>-67208000</v>
      </c>
      <c r="I160" s="4">
        <v>-75798000</v>
      </c>
      <c r="J160" s="4">
        <v>-94517000</v>
      </c>
      <c r="K160" s="4">
        <v>-118422000</v>
      </c>
      <c r="L160" s="4">
        <v>-88284000</v>
      </c>
      <c r="M160" s="4">
        <v>-128734000</v>
      </c>
      <c r="N160" s="4">
        <v>-139431000</v>
      </c>
      <c r="O160" s="5">
        <v>-157792000</v>
      </c>
      <c r="P160" s="4">
        <v>-32718000</v>
      </c>
      <c r="Q160" s="4">
        <v>-30125000</v>
      </c>
      <c r="R160" s="4">
        <v>-59618000</v>
      </c>
      <c r="S160" s="4">
        <v>-35331000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-29843000</v>
      </c>
      <c r="C165" s="4">
        <v>-37841000</v>
      </c>
      <c r="D165" s="4">
        <v>-104089000</v>
      </c>
      <c r="E165" s="4">
        <v>-69157000</v>
      </c>
      <c r="F165" s="4" t="s">
        <v>24</v>
      </c>
      <c r="G165" s="4" t="s">
        <v>24</v>
      </c>
      <c r="H165" s="4">
        <v>-11016000</v>
      </c>
      <c r="I165" s="4">
        <v>-40545000</v>
      </c>
      <c r="J165" s="4">
        <v>-48382000</v>
      </c>
      <c r="K165" s="4" t="s">
        <v>24</v>
      </c>
      <c r="L165" s="4">
        <v>-53294000</v>
      </c>
      <c r="M165" s="4">
        <v>-62925000</v>
      </c>
      <c r="N165" s="4">
        <v>58780000</v>
      </c>
      <c r="O165" s="5">
        <v>36026000</v>
      </c>
      <c r="P165" s="4">
        <v>35067000</v>
      </c>
      <c r="Q165" s="4">
        <v>1124000</v>
      </c>
      <c r="R165" s="4">
        <v>-165000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v>971000</v>
      </c>
      <c r="M166" s="4">
        <v>14675000</v>
      </c>
      <c r="N166" s="4">
        <v>70612000</v>
      </c>
      <c r="O166" s="5">
        <v>36021000</v>
      </c>
      <c r="P166" s="4">
        <v>35062000</v>
      </c>
      <c r="Q166" s="4">
        <v>1124000</v>
      </c>
      <c r="R166" s="4">
        <v>-165000</v>
      </c>
      <c r="S166" s="4" t="s">
        <v>24</v>
      </c>
    </row>
    <row r="167" spans="1:19" ht="16" x14ac:dyDescent="0.2">
      <c r="A167" s="3" t="s">
        <v>169</v>
      </c>
      <c r="B167" s="4">
        <v>-29843000</v>
      </c>
      <c r="C167" s="4">
        <v>-37841000</v>
      </c>
      <c r="D167" s="4">
        <v>-104089000</v>
      </c>
      <c r="E167" s="4">
        <v>-69157000</v>
      </c>
      <c r="F167" s="4" t="s">
        <v>24</v>
      </c>
      <c r="G167" s="4" t="s">
        <v>24</v>
      </c>
      <c r="H167" s="4">
        <v>-11016000</v>
      </c>
      <c r="I167" s="4">
        <v>-40545000</v>
      </c>
      <c r="J167" s="4">
        <v>-48382000</v>
      </c>
      <c r="K167" s="4" t="s">
        <v>24</v>
      </c>
      <c r="L167" s="4">
        <v>-54265000</v>
      </c>
      <c r="M167" s="4">
        <v>-77600000</v>
      </c>
      <c r="N167" s="4">
        <v>-11832000</v>
      </c>
      <c r="O167" s="5">
        <v>5000</v>
      </c>
      <c r="P167" s="4">
        <v>5000</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-2285000</v>
      </c>
      <c r="C169" s="4">
        <v>298000</v>
      </c>
      <c r="D169" s="4">
        <v>-4454000</v>
      </c>
      <c r="E169" s="4">
        <v>-11067000</v>
      </c>
      <c r="F169" s="4">
        <v>-8124000</v>
      </c>
      <c r="G169" s="4">
        <v>13095000</v>
      </c>
      <c r="H169" s="4">
        <v>1256000</v>
      </c>
      <c r="I169" s="4">
        <v>6733000</v>
      </c>
      <c r="J169" s="4">
        <v>18031000</v>
      </c>
      <c r="K169" s="4">
        <v>2702000</v>
      </c>
      <c r="L169" s="4">
        <v>-4615000</v>
      </c>
      <c r="M169" s="4">
        <v>502000</v>
      </c>
      <c r="N169" s="4">
        <v>-2668000</v>
      </c>
      <c r="O169" s="5">
        <v>-9883000</v>
      </c>
      <c r="P169" s="4">
        <v>-401000</v>
      </c>
      <c r="Q169" s="4">
        <v>-3724000</v>
      </c>
      <c r="R169" s="4">
        <v>-517000</v>
      </c>
      <c r="S169" s="4">
        <v>-5241000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-98077000</v>
      </c>
      <c r="C171" s="4">
        <v>-121238000</v>
      </c>
      <c r="D171" s="4">
        <v>-215573000</v>
      </c>
      <c r="E171" s="4">
        <v>-173398000</v>
      </c>
      <c r="F171" s="4">
        <v>-86895000</v>
      </c>
      <c r="G171" s="4">
        <v>-67598000</v>
      </c>
      <c r="H171" s="4">
        <v>-76968000</v>
      </c>
      <c r="I171" s="4">
        <v>-109610000</v>
      </c>
      <c r="J171" s="4">
        <v>-124868000</v>
      </c>
      <c r="K171" s="4">
        <v>-115720000</v>
      </c>
      <c r="L171" s="4">
        <v>-146193000</v>
      </c>
      <c r="M171" s="4">
        <v>-191157000</v>
      </c>
      <c r="N171" s="4">
        <v>-83319000</v>
      </c>
      <c r="O171" s="5">
        <v>-111947000</v>
      </c>
      <c r="P171" s="4">
        <v>1948000</v>
      </c>
      <c r="Q171" s="4">
        <v>-25293000</v>
      </c>
      <c r="R171" s="4">
        <v>-48907000</v>
      </c>
      <c r="S171" s="4">
        <v>-39695000</v>
      </c>
    </row>
    <row r="172" spans="1:19" ht="16" x14ac:dyDescent="0.2">
      <c r="A172" s="3" t="s">
        <v>173</v>
      </c>
      <c r="B172" s="4" t="s">
        <v>24</v>
      </c>
      <c r="C172" s="4" t="s">
        <v>24</v>
      </c>
      <c r="D172" s="4" t="s">
        <v>24</v>
      </c>
      <c r="E172" s="4" t="s">
        <v>24</v>
      </c>
      <c r="F172" s="4" t="s">
        <v>24</v>
      </c>
      <c r="G172" s="4" t="s">
        <v>24</v>
      </c>
      <c r="H172" s="4" t="s">
        <v>24</v>
      </c>
      <c r="I172" s="4" t="s">
        <v>24</v>
      </c>
      <c r="J172" s="4">
        <v>-17889000</v>
      </c>
      <c r="K172" s="4">
        <v>-34857000</v>
      </c>
      <c r="L172" s="4">
        <v>-25210000</v>
      </c>
      <c r="M172" s="4">
        <v>-32106000</v>
      </c>
      <c r="N172" s="4">
        <v>-32970000</v>
      </c>
      <c r="O172" s="5">
        <v>-33776000</v>
      </c>
      <c r="P172" s="4">
        <v>-8317000</v>
      </c>
      <c r="Q172" s="4">
        <v>-8257000</v>
      </c>
      <c r="R172" s="4">
        <v>-8602000</v>
      </c>
      <c r="S172" s="4">
        <v>-8600000</v>
      </c>
    </row>
    <row r="173" spans="1:19" ht="16" x14ac:dyDescent="0.2">
      <c r="A173" s="3" t="s">
        <v>174</v>
      </c>
      <c r="B173" s="4">
        <v>-66811000</v>
      </c>
      <c r="C173" s="4">
        <v>-40687000</v>
      </c>
      <c r="D173" s="4">
        <v>37868000</v>
      </c>
      <c r="E173" s="4">
        <v>837718000</v>
      </c>
      <c r="F173" s="4">
        <v>519517000</v>
      </c>
      <c r="G173" s="4">
        <v>195601000</v>
      </c>
      <c r="H173" s="4">
        <v>-75098000</v>
      </c>
      <c r="I173" s="4">
        <v>-51338000</v>
      </c>
      <c r="J173" s="4">
        <v>-117414000</v>
      </c>
      <c r="K173" s="4">
        <v>-31132000</v>
      </c>
      <c r="L173" s="4">
        <v>95651000</v>
      </c>
      <c r="M173" s="4">
        <v>-30522000</v>
      </c>
      <c r="N173" s="4">
        <v>-70214000</v>
      </c>
      <c r="O173" s="5">
        <v>150652000</v>
      </c>
      <c r="P173" s="4">
        <v>-20586000</v>
      </c>
      <c r="Q173" s="4">
        <v>79723000</v>
      </c>
      <c r="R173" s="4">
        <v>40122000</v>
      </c>
      <c r="S173" s="4">
        <v>51393000</v>
      </c>
    </row>
    <row r="174" spans="1:19" ht="16" x14ac:dyDescent="0.2">
      <c r="A174" s="3" t="s">
        <v>175</v>
      </c>
      <c r="B174" s="4">
        <v>543319000</v>
      </c>
      <c r="C174" s="4">
        <v>676930000</v>
      </c>
      <c r="D174" s="4">
        <v>887708000</v>
      </c>
      <c r="E174" s="4">
        <v>1810448000</v>
      </c>
      <c r="F174" s="4">
        <v>722270000</v>
      </c>
      <c r="G174" s="4">
        <v>722560000</v>
      </c>
      <c r="H174" s="4">
        <v>344670000</v>
      </c>
      <c r="I174" s="4">
        <v>255622000</v>
      </c>
      <c r="J174" s="4">
        <v>587168000</v>
      </c>
      <c r="K174" s="4">
        <v>971658000</v>
      </c>
      <c r="L174" s="4">
        <v>1658447000</v>
      </c>
      <c r="M174" s="4">
        <v>878650000</v>
      </c>
      <c r="N174" s="4">
        <v>840475000</v>
      </c>
      <c r="O174" s="5">
        <v>890532000</v>
      </c>
      <c r="P174" s="4">
        <v>178800000</v>
      </c>
      <c r="Q174" s="4">
        <v>241000000</v>
      </c>
      <c r="R174" s="4">
        <v>262232000</v>
      </c>
      <c r="S174" s="4">
        <v>208500000</v>
      </c>
    </row>
    <row r="175" spans="1:19" ht="16" x14ac:dyDescent="0.2">
      <c r="A175" s="3" t="s">
        <v>176</v>
      </c>
      <c r="B175" s="4">
        <v>-610130000</v>
      </c>
      <c r="C175" s="4">
        <v>-717617000</v>
      </c>
      <c r="D175" s="4">
        <v>-849840000</v>
      </c>
      <c r="E175" s="4">
        <v>-972730000</v>
      </c>
      <c r="F175" s="4">
        <v>-202753000</v>
      </c>
      <c r="G175" s="4">
        <v>-526959000</v>
      </c>
      <c r="H175" s="4">
        <v>-419768000</v>
      </c>
      <c r="I175" s="4">
        <v>-306960000</v>
      </c>
      <c r="J175" s="4">
        <v>-704582000</v>
      </c>
      <c r="K175" s="4">
        <v>-1002790000</v>
      </c>
      <c r="L175" s="4">
        <v>-1562796000</v>
      </c>
      <c r="M175" s="4">
        <v>-909172000</v>
      </c>
      <c r="N175" s="4">
        <v>-910689000</v>
      </c>
      <c r="O175" s="5">
        <v>-739880000</v>
      </c>
      <c r="P175" s="4">
        <v>-199386000</v>
      </c>
      <c r="Q175" s="4">
        <v>-161277000</v>
      </c>
      <c r="R175" s="4">
        <v>-222110000</v>
      </c>
      <c r="S175" s="4">
        <v>-157107000</v>
      </c>
    </row>
    <row r="176" spans="1:19" ht="16" x14ac:dyDescent="0.2">
      <c r="A176" s="3" t="s">
        <v>177</v>
      </c>
      <c r="B176" s="4">
        <v>878000</v>
      </c>
      <c r="C176" s="4">
        <v>-29306000</v>
      </c>
      <c r="D176" s="4">
        <v>827000</v>
      </c>
      <c r="E176" s="4">
        <v>-889000</v>
      </c>
      <c r="F176" s="4">
        <v>-270629000</v>
      </c>
      <c r="G176" s="4">
        <v>-352412000</v>
      </c>
      <c r="H176" s="4">
        <v>-40359000</v>
      </c>
      <c r="I176" s="4">
        <v>-4846000</v>
      </c>
      <c r="J176" s="4">
        <v>-3658000</v>
      </c>
      <c r="K176" s="4">
        <v>-35687000</v>
      </c>
      <c r="L176" s="4">
        <v>-225276000</v>
      </c>
      <c r="M176" s="4">
        <v>-20807000</v>
      </c>
      <c r="N176" s="4">
        <v>-30144000</v>
      </c>
      <c r="O176" s="5">
        <v>-20819000</v>
      </c>
      <c r="P176" s="4">
        <v>-10451000</v>
      </c>
      <c r="Q176" s="4">
        <v>-10852000</v>
      </c>
      <c r="R176" s="4">
        <v>-457000</v>
      </c>
      <c r="S176" s="4">
        <v>941000</v>
      </c>
    </row>
    <row r="177" spans="1:19" ht="16" x14ac:dyDescent="0.2">
      <c r="A177" s="3" t="s">
        <v>178</v>
      </c>
      <c r="B177" s="4">
        <v>2708000</v>
      </c>
      <c r="C177" s="4">
        <v>4764000</v>
      </c>
      <c r="D177" s="4">
        <v>2227000</v>
      </c>
      <c r="E177" s="4">
        <v>10725000</v>
      </c>
      <c r="F177" s="4">
        <v>2247000</v>
      </c>
      <c r="G177" s="4">
        <v>11436000</v>
      </c>
      <c r="H177" s="4">
        <v>4574000</v>
      </c>
      <c r="I177" s="4">
        <v>3797000</v>
      </c>
      <c r="J177" s="4">
        <v>4560000</v>
      </c>
      <c r="K177" s="4">
        <v>5268000</v>
      </c>
      <c r="L177" s="4">
        <v>7014000</v>
      </c>
      <c r="M177" s="4">
        <v>10866000</v>
      </c>
      <c r="N177" s="4">
        <v>18414000</v>
      </c>
      <c r="O177" s="5">
        <v>20387000</v>
      </c>
      <c r="P177" s="4">
        <v>7622000</v>
      </c>
      <c r="Q177" s="4">
        <v>1869000</v>
      </c>
      <c r="R177" s="4">
        <v>7279000</v>
      </c>
      <c r="S177" s="4">
        <v>3617000</v>
      </c>
    </row>
    <row r="178" spans="1:19" ht="16" x14ac:dyDescent="0.2">
      <c r="A178" s="3" t="s">
        <v>179</v>
      </c>
      <c r="B178" s="4">
        <v>-1830000</v>
      </c>
      <c r="C178" s="4">
        <v>-34070000</v>
      </c>
      <c r="D178" s="4">
        <v>-1400000</v>
      </c>
      <c r="E178" s="4">
        <v>-11614000</v>
      </c>
      <c r="F178" s="4">
        <v>-272876000</v>
      </c>
      <c r="G178" s="4">
        <v>-363848000</v>
      </c>
      <c r="H178" s="4">
        <v>-44933000</v>
      </c>
      <c r="I178" s="4">
        <v>-8643000</v>
      </c>
      <c r="J178" s="4">
        <v>-8218000</v>
      </c>
      <c r="K178" s="4">
        <v>-40955000</v>
      </c>
      <c r="L178" s="4">
        <v>-232290000</v>
      </c>
      <c r="M178" s="4">
        <v>-31673000</v>
      </c>
      <c r="N178" s="4">
        <v>-48558000</v>
      </c>
      <c r="O178" s="5">
        <v>-41206000</v>
      </c>
      <c r="P178" s="4">
        <v>-18073000</v>
      </c>
      <c r="Q178" s="4">
        <v>-12721000</v>
      </c>
      <c r="R178" s="4">
        <v>-7736000</v>
      </c>
      <c r="S178" s="4">
        <v>-2676000</v>
      </c>
    </row>
    <row r="179" spans="1:19" ht="16" x14ac:dyDescent="0.2">
      <c r="A179" s="3" t="s">
        <v>180</v>
      </c>
      <c r="B179" s="4">
        <v>6000</v>
      </c>
      <c r="C179" s="4">
        <v>-2798000</v>
      </c>
      <c r="D179" s="4">
        <v>-1273000</v>
      </c>
      <c r="E179" s="4">
        <v>-908917000</v>
      </c>
      <c r="F179" s="4">
        <v>-367293000</v>
      </c>
      <c r="G179" s="4">
        <v>-9188000</v>
      </c>
      <c r="H179" s="4">
        <v>-4403000</v>
      </c>
      <c r="I179" s="4">
        <v>-19474000</v>
      </c>
      <c r="J179" s="4">
        <v>-82608000</v>
      </c>
      <c r="K179" s="4">
        <v>2995000</v>
      </c>
      <c r="L179" s="4">
        <v>12069000</v>
      </c>
      <c r="M179" s="4">
        <v>-3560000</v>
      </c>
      <c r="N179" s="4">
        <v>-1580000</v>
      </c>
      <c r="O179" s="5">
        <v>120000</v>
      </c>
      <c r="P179" s="4">
        <v>2318000</v>
      </c>
      <c r="Q179" s="4">
        <v>-1218000</v>
      </c>
      <c r="R179" s="4">
        <v>1768000</v>
      </c>
      <c r="S179" s="4">
        <v>-2748000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-65927000</v>
      </c>
      <c r="C181" s="4">
        <v>-72791000</v>
      </c>
      <c r="D181" s="4">
        <v>37422000</v>
      </c>
      <c r="E181" s="4">
        <v>-72088000</v>
      </c>
      <c r="F181" s="4">
        <v>-118405000</v>
      </c>
      <c r="G181" s="4">
        <v>-165999000</v>
      </c>
      <c r="H181" s="4">
        <v>-119860000</v>
      </c>
      <c r="I181" s="4">
        <v>-75658000</v>
      </c>
      <c r="J181" s="4">
        <v>-221569000</v>
      </c>
      <c r="K181" s="4">
        <v>-98681000</v>
      </c>
      <c r="L181" s="4">
        <v>-142766000</v>
      </c>
      <c r="M181" s="4">
        <v>-86995000</v>
      </c>
      <c r="N181" s="4">
        <v>-134908000</v>
      </c>
      <c r="O181" s="5">
        <v>96177000</v>
      </c>
      <c r="P181" s="4">
        <v>-37036000</v>
      </c>
      <c r="Q181" s="4">
        <v>59396000</v>
      </c>
      <c r="R181" s="4">
        <v>32831000</v>
      </c>
      <c r="S181" s="4">
        <v>40986000</v>
      </c>
    </row>
    <row r="182" spans="1:19" ht="16" x14ac:dyDescent="0.2">
      <c r="A182" s="3" t="s">
        <v>182</v>
      </c>
      <c r="B182" s="4">
        <v>-324000</v>
      </c>
      <c r="C182" s="4">
        <v>-903000</v>
      </c>
      <c r="D182" s="4">
        <v>-1027000</v>
      </c>
      <c r="E182" s="4">
        <v>2458000</v>
      </c>
      <c r="F182" s="4">
        <v>-7600000</v>
      </c>
      <c r="G182" s="4">
        <v>-22388000</v>
      </c>
      <c r="H182" s="4">
        <v>-3751000</v>
      </c>
      <c r="I182" s="4">
        <v>10433000</v>
      </c>
      <c r="J182" s="4">
        <v>1541000</v>
      </c>
      <c r="K182" s="4">
        <v>-2180000</v>
      </c>
      <c r="L182" s="4">
        <v>2306000</v>
      </c>
      <c r="M182" s="4">
        <v>768000</v>
      </c>
      <c r="N182" s="4">
        <v>-10256000</v>
      </c>
      <c r="O182" s="5">
        <v>-131000</v>
      </c>
      <c r="P182" s="4">
        <v>-4081000</v>
      </c>
      <c r="Q182" s="4">
        <v>4492000</v>
      </c>
      <c r="R182" s="4">
        <v>918000</v>
      </c>
      <c r="S182" s="4">
        <v>-1460000</v>
      </c>
    </row>
    <row r="183" spans="1:19" ht="16" x14ac:dyDescent="0.2">
      <c r="A183" s="3" t="s">
        <v>183</v>
      </c>
      <c r="B183" s="4">
        <v>31252000</v>
      </c>
      <c r="C183" s="4">
        <v>2161000</v>
      </c>
      <c r="D183" s="4">
        <v>36189000</v>
      </c>
      <c r="E183" s="4">
        <v>5791000</v>
      </c>
      <c r="F183" s="4">
        <v>81802000</v>
      </c>
      <c r="G183" s="4">
        <v>100949000</v>
      </c>
      <c r="H183" s="4">
        <v>19026000</v>
      </c>
      <c r="I183" s="4">
        <v>32512000</v>
      </c>
      <c r="J183" s="4">
        <v>-244030000</v>
      </c>
      <c r="K183" s="4">
        <v>-32978000</v>
      </c>
      <c r="L183" s="4">
        <v>-9782000</v>
      </c>
      <c r="M183" s="4">
        <v>15074000</v>
      </c>
      <c r="N183" s="4">
        <v>28575000</v>
      </c>
      <c r="O183" s="5">
        <v>29671000</v>
      </c>
      <c r="P183" s="4">
        <v>27450000</v>
      </c>
      <c r="Q183" s="4">
        <v>42186000</v>
      </c>
      <c r="R183" s="4">
        <v>-57175000</v>
      </c>
      <c r="S183" s="4">
        <v>17210000</v>
      </c>
    </row>
    <row r="184" spans="1:19" ht="16" x14ac:dyDescent="0.2">
      <c r="A184" s="3" t="s">
        <v>54</v>
      </c>
      <c r="B184" s="4">
        <v>287819000</v>
      </c>
      <c r="C184" s="4">
        <v>315455000</v>
      </c>
      <c r="D184" s="4">
        <v>344666000</v>
      </c>
      <c r="E184" s="4">
        <v>360535000</v>
      </c>
      <c r="F184" s="4">
        <v>363886000</v>
      </c>
      <c r="G184" s="4">
        <v>336544000</v>
      </c>
      <c r="H184" s="4">
        <v>323018000</v>
      </c>
      <c r="I184" s="4">
        <v>320902000</v>
      </c>
      <c r="J184" s="4">
        <v>337614000</v>
      </c>
      <c r="K184" s="4">
        <v>369986000</v>
      </c>
      <c r="L184" s="4">
        <v>321856000</v>
      </c>
      <c r="M184" s="4">
        <v>328326000</v>
      </c>
      <c r="N184" s="4">
        <v>351132000</v>
      </c>
      <c r="O184" s="5">
        <v>372587000</v>
      </c>
      <c r="P184" s="4">
        <v>88350000</v>
      </c>
      <c r="Q184" s="4">
        <v>88043000</v>
      </c>
      <c r="R184" s="4">
        <v>99165000</v>
      </c>
      <c r="S184" s="4">
        <v>97029000</v>
      </c>
    </row>
    <row r="185" spans="1:19" ht="16" x14ac:dyDescent="0.2">
      <c r="A185" s="3" t="s">
        <v>55</v>
      </c>
      <c r="B185" s="6">
        <v>13.61</v>
      </c>
      <c r="C185" s="6">
        <v>13.53</v>
      </c>
      <c r="D185" s="6">
        <v>13.96</v>
      </c>
      <c r="E185" s="6">
        <v>13.81</v>
      </c>
      <c r="F185" s="6">
        <v>13.74</v>
      </c>
      <c r="G185" s="6">
        <v>13.33</v>
      </c>
      <c r="H185" s="6">
        <v>13.39</v>
      </c>
      <c r="I185" s="6">
        <v>12.85</v>
      </c>
      <c r="J185" s="6">
        <v>12.46</v>
      </c>
      <c r="K185" s="6">
        <v>12.74</v>
      </c>
      <c r="L185" s="6">
        <v>11.16</v>
      </c>
      <c r="M185" s="6">
        <v>11.51</v>
      </c>
      <c r="N185" s="6">
        <v>11.57</v>
      </c>
      <c r="O185" s="7">
        <v>11.59</v>
      </c>
      <c r="P185" s="6">
        <v>11.57</v>
      </c>
      <c r="Q185" s="6">
        <v>11.82</v>
      </c>
      <c r="R185" s="6">
        <v>11.75</v>
      </c>
      <c r="S185" s="6">
        <v>11.59</v>
      </c>
    </row>
    <row r="186" spans="1:19" ht="16" x14ac:dyDescent="0.2">
      <c r="A186" s="3" t="s">
        <v>184</v>
      </c>
      <c r="B186" s="4">
        <v>29843000</v>
      </c>
      <c r="C186" s="4">
        <v>37841000</v>
      </c>
      <c r="D186" s="4">
        <v>104089000</v>
      </c>
      <c r="E186" s="4">
        <v>69157000</v>
      </c>
      <c r="F186" s="4" t="s">
        <v>24</v>
      </c>
      <c r="G186" s="4" t="s">
        <v>24</v>
      </c>
      <c r="H186" s="4">
        <v>11016000</v>
      </c>
      <c r="I186" s="4">
        <v>40545000</v>
      </c>
      <c r="J186" s="4">
        <v>48382000</v>
      </c>
      <c r="K186" s="4" t="s">
        <v>24</v>
      </c>
      <c r="L186" s="4">
        <v>53294000</v>
      </c>
      <c r="M186" s="4">
        <v>62925000</v>
      </c>
      <c r="N186" s="4">
        <v>-58780000</v>
      </c>
      <c r="O186" s="5">
        <v>-36026000</v>
      </c>
      <c r="P186" s="4">
        <v>-35067000</v>
      </c>
      <c r="Q186" s="4">
        <v>-1124000</v>
      </c>
      <c r="R186" s="4">
        <v>165000</v>
      </c>
      <c r="S186" s="4" t="s">
        <v>24</v>
      </c>
    </row>
    <row r="187" spans="1:19" ht="16" x14ac:dyDescent="0.2">
      <c r="A187" s="3" t="s">
        <v>185</v>
      </c>
      <c r="B187" s="4">
        <v>129307000</v>
      </c>
      <c r="C187" s="4">
        <v>112495000</v>
      </c>
      <c r="D187" s="4">
        <v>107310000</v>
      </c>
      <c r="E187" s="4">
        <v>158103000</v>
      </c>
      <c r="F187" s="4">
        <v>208331000</v>
      </c>
      <c r="G187" s="4">
        <v>253853000</v>
      </c>
      <c r="H187" s="4">
        <v>148646000</v>
      </c>
      <c r="I187" s="4">
        <v>141982000</v>
      </c>
      <c r="J187" s="4">
        <v>7890000</v>
      </c>
      <c r="K187" s="4">
        <v>63001000</v>
      </c>
      <c r="L187" s="4">
        <v>190893000</v>
      </c>
      <c r="M187" s="4">
        <v>164492000</v>
      </c>
      <c r="N187" s="4">
        <v>107371000</v>
      </c>
      <c r="O187" s="5">
        <v>-112351000</v>
      </c>
      <c r="P187" s="4">
        <v>29820000</v>
      </c>
      <c r="Q187" s="4">
        <v>-22042000</v>
      </c>
      <c r="R187" s="4">
        <v>-100717000</v>
      </c>
      <c r="S187" s="4">
        <v>-19412000</v>
      </c>
    </row>
    <row r="188" spans="1:19" ht="16" x14ac:dyDescent="0.2">
      <c r="A188" s="30" t="s">
        <v>186</v>
      </c>
      <c r="B188" s="27">
        <v>157330888</v>
      </c>
      <c r="C188" s="27">
        <v>138891741</v>
      </c>
      <c r="D188" s="27">
        <v>132359086</v>
      </c>
      <c r="E188" s="27">
        <v>177792224</v>
      </c>
      <c r="F188" s="27">
        <v>217373136</v>
      </c>
      <c r="G188" s="27">
        <v>274634003</v>
      </c>
      <c r="H188" s="27">
        <v>173396202</v>
      </c>
      <c r="I188" s="27">
        <v>168679921</v>
      </c>
      <c r="J188" s="27">
        <v>26937338</v>
      </c>
      <c r="K188" s="27">
        <v>93196862</v>
      </c>
      <c r="L188" s="27">
        <v>190893000</v>
      </c>
      <c r="M188" s="27">
        <v>190641068</v>
      </c>
      <c r="N188" s="27">
        <v>135471646</v>
      </c>
      <c r="O188" s="29">
        <v>-68897093</v>
      </c>
      <c r="P188" s="27">
        <v>37599511</v>
      </c>
      <c r="Q188" s="27">
        <v>-12020904</v>
      </c>
      <c r="R188" s="27">
        <v>-89286133</v>
      </c>
      <c r="S188" s="27">
        <v>-4881624</v>
      </c>
    </row>
    <row r="189" spans="1:19" ht="16" x14ac:dyDescent="0.2">
      <c r="A189" s="20" t="s">
        <v>199</v>
      </c>
      <c r="B189" s="21"/>
      <c r="C189" s="22">
        <f>(C188/B188)-1</f>
        <v>-0.11719978978317336</v>
      </c>
      <c r="D189" s="22">
        <f>(D188/C188)-1</f>
        <v>-4.7034150144319997E-2</v>
      </c>
      <c r="E189" s="22">
        <f>(E188/D188)-1</f>
        <v>0.34325666165449342</v>
      </c>
      <c r="F189" s="22">
        <f t="shared" ref="F189:N189" si="8">(F188/E188)-1</f>
        <v>0.22262453952991779</v>
      </c>
      <c r="G189" s="22">
        <f t="shared" si="8"/>
        <v>0.26342200353589229</v>
      </c>
      <c r="H189" s="22">
        <f t="shared" si="8"/>
        <v>-0.3686280646027652</v>
      </c>
      <c r="I189" s="22">
        <f t="shared" si="8"/>
        <v>-2.7199448117093183E-2</v>
      </c>
      <c r="J189" s="22">
        <f t="shared" si="8"/>
        <v>-0.84030501176248473</v>
      </c>
      <c r="K189" s="22">
        <f t="shared" si="8"/>
        <v>2.4597651037381643</v>
      </c>
      <c r="L189" s="22">
        <f t="shared" si="8"/>
        <v>1.0482771190300375</v>
      </c>
      <c r="M189" s="22">
        <f t="shared" si="8"/>
        <v>-1.3197550460205543E-3</v>
      </c>
      <c r="N189" s="22">
        <f t="shared" si="8"/>
        <v>-0.28938896838324468</v>
      </c>
      <c r="O189" s="22">
        <f>(O188/N188)-1</f>
        <v>-1.5085720520440122</v>
      </c>
      <c r="P189" s="22"/>
      <c r="Q189" s="22">
        <f>(Q188/P188)-1</f>
        <v>-1.3197090515352712</v>
      </c>
      <c r="R189" s="22">
        <f>(R188/Q188)-1</f>
        <v>6.4275722524695311</v>
      </c>
      <c r="S189" s="22">
        <f>(S188/R188)-1</f>
        <v>-0.94532606759887339</v>
      </c>
    </row>
    <row r="190" spans="1:19" ht="16" x14ac:dyDescent="0.2">
      <c r="A190" s="23" t="s">
        <v>200</v>
      </c>
      <c r="B190" s="24">
        <f t="shared" ref="B190:S190" si="9">B188/B2</f>
        <v>7.4414444446546574E-2</v>
      </c>
      <c r="C190" s="24">
        <f t="shared" si="9"/>
        <v>5.9592797381021849E-2</v>
      </c>
      <c r="D190" s="24">
        <f t="shared" si="9"/>
        <v>5.3596742869915642E-2</v>
      </c>
      <c r="E190" s="24">
        <f t="shared" si="9"/>
        <v>6.8111510084430546E-2</v>
      </c>
      <c r="F190" s="24">
        <f t="shared" si="9"/>
        <v>8.2077619379357605E-2</v>
      </c>
      <c r="G190" s="24">
        <f t="shared" si="9"/>
        <v>0.10874303037934185</v>
      </c>
      <c r="H190" s="24">
        <f t="shared" si="9"/>
        <v>7.1890850382908017E-2</v>
      </c>
      <c r="I190" s="24">
        <f t="shared" si="9"/>
        <v>6.7538858885840533E-2</v>
      </c>
      <c r="J190" s="24">
        <f t="shared" si="9"/>
        <v>9.9419288214512968E-3</v>
      </c>
      <c r="K190" s="24">
        <f t="shared" si="9"/>
        <v>3.2085258083295723E-2</v>
      </c>
      <c r="L190" s="24">
        <f t="shared" si="9"/>
        <v>6.6177648260354979E-2</v>
      </c>
      <c r="M190" s="24">
        <f t="shared" si="9"/>
        <v>6.6844858314869637E-2</v>
      </c>
      <c r="N190" s="24">
        <f t="shared" si="9"/>
        <v>4.4624943877740929E-2</v>
      </c>
      <c r="O190" s="25">
        <f t="shared" si="9"/>
        <v>-2.1429422376495692E-2</v>
      </c>
      <c r="P190" s="24">
        <f t="shared" si="9"/>
        <v>4.8957760361667137E-2</v>
      </c>
      <c r="Q190" s="24">
        <f t="shared" si="9"/>
        <v>-1.5814835620961896E-2</v>
      </c>
      <c r="R190" s="24">
        <f t="shared" si="9"/>
        <v>-0.10670050980410903</v>
      </c>
      <c r="S190" s="24">
        <f t="shared" si="9"/>
        <v>-5.7418981481481479E-3</v>
      </c>
    </row>
    <row r="191" spans="1:19" ht="16" x14ac:dyDescent="0.2">
      <c r="A191" s="3" t="s">
        <v>187</v>
      </c>
      <c r="B191" s="4">
        <v>62496000</v>
      </c>
      <c r="C191" s="4">
        <v>71808000</v>
      </c>
      <c r="D191" s="4">
        <v>145178000</v>
      </c>
      <c r="E191" s="4">
        <v>995821000</v>
      </c>
      <c r="F191" s="4">
        <v>727848000</v>
      </c>
      <c r="G191" s="4">
        <v>449454000</v>
      </c>
      <c r="H191" s="4">
        <v>73548000</v>
      </c>
      <c r="I191" s="4">
        <v>90644000</v>
      </c>
      <c r="J191" s="4">
        <v>-109524000</v>
      </c>
      <c r="K191" s="4">
        <v>31869000</v>
      </c>
      <c r="L191" s="4">
        <v>286544000</v>
      </c>
      <c r="M191" s="4">
        <v>133970000</v>
      </c>
      <c r="N191" s="4">
        <v>37157000</v>
      </c>
      <c r="O191" s="5">
        <v>58003000</v>
      </c>
      <c r="P191" s="26">
        <v>9234000</v>
      </c>
      <c r="Q191" s="4">
        <v>65113000</v>
      </c>
      <c r="R191" s="4">
        <v>-49202000</v>
      </c>
      <c r="S191" s="4">
        <v>32858000</v>
      </c>
    </row>
    <row r="192" spans="1:19" ht="16" x14ac:dyDescent="0.2">
      <c r="A192" s="3" t="s">
        <v>188</v>
      </c>
      <c r="B192" s="6">
        <v>2.85</v>
      </c>
      <c r="C192" s="6">
        <v>2.4700000000000002</v>
      </c>
      <c r="D192" s="6">
        <v>2.37</v>
      </c>
      <c r="E192" s="6">
        <v>3.49</v>
      </c>
      <c r="F192" s="6">
        <v>4.7</v>
      </c>
      <c r="G192" s="6">
        <v>6.52</v>
      </c>
      <c r="H192" s="6">
        <v>4.0999999999999996</v>
      </c>
      <c r="I192" s="6">
        <v>3.96</v>
      </c>
      <c r="J192" s="6">
        <v>0.22</v>
      </c>
      <c r="K192" s="6">
        <v>1.81</v>
      </c>
      <c r="L192" s="6">
        <v>5.74</v>
      </c>
      <c r="M192" s="6">
        <v>5.12</v>
      </c>
      <c r="N192" s="6">
        <v>3.36</v>
      </c>
      <c r="O192" s="7">
        <v>-3.53</v>
      </c>
      <c r="P192" s="6">
        <v>0.93</v>
      </c>
      <c r="Q192" s="6">
        <v>-0.69</v>
      </c>
      <c r="R192" s="6">
        <v>-3.16</v>
      </c>
      <c r="S192" s="6">
        <v>-0.61</v>
      </c>
    </row>
    <row r="193" spans="1:19" ht="16" x14ac:dyDescent="0.2">
      <c r="A193" s="3" t="s">
        <v>189</v>
      </c>
      <c r="B193" s="6">
        <v>6.21</v>
      </c>
      <c r="C193" s="6">
        <v>5.37</v>
      </c>
      <c r="D193" s="6">
        <v>5.39</v>
      </c>
      <c r="E193" s="6">
        <v>7.81</v>
      </c>
      <c r="F193" s="6">
        <v>8.4</v>
      </c>
      <c r="G193" s="6">
        <v>5.12</v>
      </c>
      <c r="H193" s="6">
        <v>7.68</v>
      </c>
      <c r="I193" s="6">
        <v>10.3</v>
      </c>
      <c r="J193" s="6">
        <v>15.74</v>
      </c>
      <c r="K193" s="6">
        <v>9.52</v>
      </c>
      <c r="L193" s="6">
        <v>5.78</v>
      </c>
      <c r="M193" s="6">
        <v>5.83</v>
      </c>
      <c r="N193" s="6">
        <v>5.85</v>
      </c>
      <c r="O193" s="7">
        <v>17.079999999999998</v>
      </c>
      <c r="P193" s="6">
        <v>6.47</v>
      </c>
      <c r="Q193" s="6">
        <v>14.56</v>
      </c>
      <c r="R193" s="6">
        <v>20.67</v>
      </c>
      <c r="S193" s="6">
        <v>20.36</v>
      </c>
    </row>
    <row r="194" spans="1:19" ht="16" x14ac:dyDescent="0.2">
      <c r="A194" s="3" t="s">
        <v>190</v>
      </c>
      <c r="B194" s="6">
        <v>1.81</v>
      </c>
      <c r="C194" s="6">
        <v>1.44</v>
      </c>
      <c r="D194" s="6">
        <v>1.41</v>
      </c>
      <c r="E194" s="6">
        <v>2.09</v>
      </c>
      <c r="F194" s="6">
        <v>1.81</v>
      </c>
      <c r="G194" s="6">
        <v>2.54</v>
      </c>
      <c r="H194" s="6">
        <v>1.7</v>
      </c>
      <c r="I194" s="6">
        <v>1.54</v>
      </c>
      <c r="J194" s="6">
        <v>1.06</v>
      </c>
      <c r="K194" s="6">
        <v>1.01</v>
      </c>
      <c r="L194" s="6">
        <v>30.33</v>
      </c>
      <c r="M194" s="6">
        <v>1.87</v>
      </c>
      <c r="N194" s="6">
        <v>1.59</v>
      </c>
      <c r="O194" s="7">
        <v>0.28000000000000003</v>
      </c>
      <c r="P194" s="6">
        <v>2.13</v>
      </c>
      <c r="Q194" s="6">
        <v>0.18</v>
      </c>
      <c r="R194" s="6">
        <v>-0.96</v>
      </c>
      <c r="S194" s="6">
        <v>0.38</v>
      </c>
    </row>
    <row r="196" spans="1:19" ht="16" x14ac:dyDescent="0.2">
      <c r="A196" s="8"/>
    </row>
  </sheetData>
  <pageMargins left="0.7" right="0.7" top="0.75" bottom="0.75" header="0.3" footer="0.3"/>
  <ignoredErrors>
    <ignoredError sqref="B1:P1 A4:S7 A15:S16 A19:S33 A191:S195 A2:S2 A9:S11 A13:S13 A37:S128 A130:S142 A144:S187 A188:K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63C2-E389-0B4F-8B00-F9A249DAC536}">
  <dimension ref="A1:S110"/>
  <sheetViews>
    <sheetView tabSelected="1" workbookViewId="0">
      <selection activeCell="G22" sqref="G22"/>
    </sheetView>
  </sheetViews>
  <sheetFormatPr baseColWidth="10" defaultRowHeight="15" x14ac:dyDescent="0.2"/>
  <cols>
    <col min="1" max="19" width="18.83203125" customWidth="1"/>
  </cols>
  <sheetData>
    <row r="1" spans="1:19" s="119" customFormat="1" ht="22" customHeight="1" x14ac:dyDescent="0.2">
      <c r="A1" s="118" t="e" vm="1">
        <v>#VALUE!</v>
      </c>
      <c r="B1" s="118"/>
      <c r="C1" s="118"/>
      <c r="D1" s="118"/>
      <c r="E1" s="118"/>
      <c r="F1" s="118"/>
      <c r="G1" s="118"/>
      <c r="H1" s="118"/>
      <c r="I1" s="118"/>
      <c r="J1" s="118"/>
      <c r="K1" s="118"/>
      <c r="L1" s="118"/>
      <c r="M1" s="118"/>
      <c r="N1" s="118"/>
      <c r="O1" s="118"/>
      <c r="P1" s="118"/>
    </row>
    <row r="2" spans="1:19" s="119" customFormat="1" ht="22" customHeight="1" thickBot="1" x14ac:dyDescent="0.25">
      <c r="A2" s="118"/>
      <c r="B2" s="118"/>
      <c r="C2" s="118"/>
      <c r="D2" s="118"/>
      <c r="E2" s="118"/>
      <c r="F2" s="118"/>
      <c r="G2" s="118"/>
      <c r="H2" s="118"/>
      <c r="I2" s="118"/>
      <c r="J2" s="118"/>
      <c r="K2" s="118"/>
      <c r="L2" s="118"/>
      <c r="M2" s="118"/>
      <c r="N2" s="118"/>
      <c r="O2" s="118"/>
      <c r="P2" s="118"/>
    </row>
    <row r="3" spans="1:19" ht="22" customHeight="1" x14ac:dyDescent="0.2">
      <c r="A3" s="44" cm="1">
        <f t="array" ref="A3">_FV(A1,"Market cap",TRUE)</f>
        <v>4413593000</v>
      </c>
      <c r="B3" s="45" t="s">
        <v>201</v>
      </c>
      <c r="C3" s="46">
        <f>Financials!O8*0.01</f>
        <v>0.2646</v>
      </c>
      <c r="D3" s="45" t="s">
        <v>202</v>
      </c>
      <c r="E3" s="46">
        <f>SUM(C11:E11)/3</f>
        <v>1.5410531635098054E-2</v>
      </c>
      <c r="F3" s="47" t="s">
        <v>203</v>
      </c>
      <c r="G3" s="48">
        <f>AVERAGE(Financials!K129:O129)</f>
        <v>-1.6558870402996285E-2</v>
      </c>
      <c r="H3" s="47" t="s">
        <v>204</v>
      </c>
      <c r="I3" s="49">
        <f>J15*(1+I7)/(I6-I7)</f>
        <v>4409848304.7121401</v>
      </c>
      <c r="J3" s="50" t="s">
        <v>205</v>
      </c>
      <c r="K3" s="51">
        <f>(Financials!O172*-1)/A3</f>
        <v>7.6527219433237276E-3</v>
      </c>
      <c r="L3" s="52" t="s">
        <v>206</v>
      </c>
      <c r="M3" s="39"/>
      <c r="N3" s="120" t="s">
        <v>207</v>
      </c>
      <c r="O3" s="121"/>
      <c r="P3" s="39"/>
      <c r="Q3" s="39"/>
      <c r="R3" s="39"/>
      <c r="S3" s="39"/>
    </row>
    <row r="4" spans="1:19" ht="22" customHeight="1" x14ac:dyDescent="0.2">
      <c r="A4" s="53">
        <f>Financials!O56-Financials!O96-Financials!O105</f>
        <v>-890264000</v>
      </c>
      <c r="B4" s="54" t="s">
        <v>208</v>
      </c>
      <c r="C4" s="55">
        <f>Financials!O17*0.01</f>
        <v>8.8599999999999998E-2</v>
      </c>
      <c r="D4" s="54" t="s">
        <v>209</v>
      </c>
      <c r="E4" s="55">
        <f>SUM(C13:E13)/3</f>
        <v>5.0393546541644341</v>
      </c>
      <c r="F4" s="56" t="s">
        <v>210</v>
      </c>
      <c r="G4" s="57">
        <f>A5*(1+(5*G3))</f>
        <v>29247193.314879723</v>
      </c>
      <c r="H4" s="56" t="s">
        <v>211</v>
      </c>
      <c r="I4" s="58">
        <f>NPV(I6,F15,G15,H15,I15,(J15+I3))</f>
        <v>3638889666.815732</v>
      </c>
      <c r="J4" s="56" t="s">
        <v>212</v>
      </c>
      <c r="K4" s="59" cm="1">
        <f t="array" ref="K4">_FV(A1,"Change (%)",TRUE)</f>
        <v>4.0569999999999998E-3</v>
      </c>
      <c r="L4" s="60" t="s">
        <v>213</v>
      </c>
      <c r="M4" s="39"/>
      <c r="N4" s="122" t="s">
        <v>214</v>
      </c>
      <c r="O4" s="123"/>
      <c r="P4" s="39"/>
      <c r="Q4" s="39"/>
      <c r="R4" s="39"/>
      <c r="S4" s="39"/>
    </row>
    <row r="5" spans="1:19" ht="22" customHeight="1" x14ac:dyDescent="0.2">
      <c r="A5" s="53" cm="1">
        <f t="array" ref="A5">_FV(A1,"Shares outstanding",TRUE)</f>
        <v>31887280</v>
      </c>
      <c r="B5" s="54" t="s">
        <v>215</v>
      </c>
      <c r="C5" s="55">
        <f>Financials!O34*0.01</f>
        <v>0.05</v>
      </c>
      <c r="D5" s="61" t="s">
        <v>216</v>
      </c>
      <c r="E5" s="55">
        <f>SUM(C16:E16)/3</f>
        <v>0.25252279853359078</v>
      </c>
      <c r="F5" s="56" t="s">
        <v>217</v>
      </c>
      <c r="G5" s="57">
        <f>Financials!O56</f>
        <v>122512000</v>
      </c>
      <c r="H5" s="56" t="s">
        <v>218</v>
      </c>
      <c r="I5" s="58">
        <f>I4+G5-G6</f>
        <v>2748625666.815732</v>
      </c>
      <c r="J5" s="56" t="s">
        <v>219</v>
      </c>
      <c r="K5" s="62" cm="1">
        <f t="array" ref="K5">_FV(A1,"Price")</f>
        <v>138.6</v>
      </c>
      <c r="L5" s="63" t="s">
        <v>220</v>
      </c>
      <c r="M5" s="39"/>
      <c r="N5" s="103" t="s">
        <v>221</v>
      </c>
      <c r="O5" s="104">
        <f>Financials!O20</f>
        <v>56732000</v>
      </c>
      <c r="P5" s="39"/>
      <c r="Q5" s="39"/>
      <c r="R5" s="39"/>
      <c r="S5" s="39"/>
    </row>
    <row r="6" spans="1:19" ht="22" customHeight="1" x14ac:dyDescent="0.2">
      <c r="A6" s="64">
        <f>O20/F10</f>
        <v>1.3297960228984633</v>
      </c>
      <c r="B6" s="54" t="s">
        <v>222</v>
      </c>
      <c r="C6" s="55">
        <f>Financials!O190</f>
        <v>-2.1429422376495692E-2</v>
      </c>
      <c r="D6" s="61" t="s">
        <v>200</v>
      </c>
      <c r="E6" s="55">
        <f>Financials!O33/Financials!O126</f>
        <v>9.9206505862382055E-2</v>
      </c>
      <c r="F6" s="54" t="s">
        <v>223</v>
      </c>
      <c r="G6" s="57">
        <f>Financials!O96+Financials!O105</f>
        <v>1012776000</v>
      </c>
      <c r="H6" s="56" t="s">
        <v>224</v>
      </c>
      <c r="I6" s="65">
        <f>N25</f>
        <v>8.3607630153688495E-2</v>
      </c>
      <c r="J6" s="56" t="s">
        <v>225</v>
      </c>
      <c r="K6" s="66">
        <f>I5/G4</f>
        <v>93.9791260386462</v>
      </c>
      <c r="L6" s="67" t="s">
        <v>226</v>
      </c>
      <c r="M6" s="39"/>
      <c r="N6" s="103" t="s">
        <v>227</v>
      </c>
      <c r="O6" s="104">
        <f>Financials!O96</f>
        <v>696000</v>
      </c>
      <c r="P6" s="39"/>
      <c r="Q6" s="39"/>
      <c r="R6" s="39"/>
      <c r="S6" s="39"/>
    </row>
    <row r="7" spans="1:19" ht="22" customHeight="1" thickBot="1" x14ac:dyDescent="0.25">
      <c r="A7" s="68">
        <f>O20/F12</f>
        <v>25.810485380116958</v>
      </c>
      <c r="B7" s="69" t="s">
        <v>228</v>
      </c>
      <c r="C7" s="70">
        <f>F15/A3</f>
        <v>5.6643192972256392E-3</v>
      </c>
      <c r="D7" s="69" t="s">
        <v>229</v>
      </c>
      <c r="E7" s="71">
        <f>(Financials!O16*(1-0.25))/(Financials!O126+Financials!O105+Financials!O96)</f>
        <v>8.1111710124679187E-2</v>
      </c>
      <c r="F7" s="69" t="s">
        <v>196</v>
      </c>
      <c r="G7" s="72">
        <f>(Financials!O96+Financials!O105)/Financials!O126</f>
        <v>0.62471378942797362</v>
      </c>
      <c r="H7" s="73" t="s">
        <v>230</v>
      </c>
      <c r="I7" s="74">
        <v>0.02</v>
      </c>
      <c r="J7" s="75" t="s">
        <v>231</v>
      </c>
      <c r="K7" s="76">
        <f>K6/K5-1</f>
        <v>-0.32193992757109524</v>
      </c>
      <c r="L7" s="77" t="s">
        <v>232</v>
      </c>
      <c r="M7" s="39"/>
      <c r="N7" s="103" t="s">
        <v>233</v>
      </c>
      <c r="O7" s="104">
        <f>Financials!O105</f>
        <v>1012080000</v>
      </c>
      <c r="P7" s="39"/>
      <c r="Q7" s="39"/>
      <c r="R7" s="39"/>
      <c r="S7" s="39"/>
    </row>
    <row r="8" spans="1:19" ht="22" customHeight="1" x14ac:dyDescent="0.2">
      <c r="A8" s="40"/>
      <c r="B8" s="39"/>
      <c r="C8" s="39"/>
      <c r="D8" s="39"/>
      <c r="E8" s="39"/>
      <c r="F8" s="39"/>
      <c r="G8" s="39"/>
      <c r="H8" s="39"/>
      <c r="I8" s="39"/>
      <c r="J8" s="39"/>
      <c r="K8" s="39"/>
      <c r="L8" s="39"/>
      <c r="M8" s="39"/>
      <c r="N8" s="105" t="s">
        <v>214</v>
      </c>
      <c r="O8" s="106">
        <f>O5/(O6+O7)</f>
        <v>5.6016335300204584E-2</v>
      </c>
      <c r="P8" s="39"/>
      <c r="Q8" s="39"/>
      <c r="R8" s="39"/>
      <c r="S8" s="39"/>
    </row>
    <row r="9" spans="1:19" ht="22" customHeight="1" x14ac:dyDescent="0.2">
      <c r="A9" s="78"/>
      <c r="B9" s="79">
        <v>2019</v>
      </c>
      <c r="C9" s="79">
        <v>2020</v>
      </c>
      <c r="D9" s="79">
        <v>2021</v>
      </c>
      <c r="E9" s="80">
        <v>2022</v>
      </c>
      <c r="F9" s="81">
        <v>2023</v>
      </c>
      <c r="G9" s="82">
        <v>2024</v>
      </c>
      <c r="H9" s="82">
        <v>2025</v>
      </c>
      <c r="I9" s="82">
        <v>2026</v>
      </c>
      <c r="J9" s="83">
        <v>2027</v>
      </c>
      <c r="K9" s="84"/>
      <c r="L9" s="41"/>
      <c r="M9" s="41"/>
      <c r="N9" s="103" t="s">
        <v>234</v>
      </c>
      <c r="O9" s="104">
        <f>Financials!O25</f>
        <v>49145000</v>
      </c>
      <c r="P9" s="39"/>
      <c r="Q9" s="39"/>
      <c r="R9" s="39"/>
      <c r="S9" s="39"/>
    </row>
    <row r="10" spans="1:19" ht="22" customHeight="1" x14ac:dyDescent="0.2">
      <c r="A10" s="85" t="s">
        <v>235</v>
      </c>
      <c r="B10" s="86">
        <v>2904663000</v>
      </c>
      <c r="C10" s="86">
        <v>2884554000</v>
      </c>
      <c r="D10" s="86">
        <v>2851993000</v>
      </c>
      <c r="E10" s="87">
        <v>3035783000</v>
      </c>
      <c r="F10" s="86">
        <v>3319000000</v>
      </c>
      <c r="G10" s="86">
        <v>3474000000</v>
      </c>
      <c r="H10" s="86">
        <v>3641000000</v>
      </c>
      <c r="I10" s="86">
        <v>3930000000</v>
      </c>
      <c r="J10" s="87">
        <v>3600000000</v>
      </c>
      <c r="K10" s="88" t="s">
        <v>236</v>
      </c>
      <c r="L10" s="41"/>
      <c r="N10" s="103" t="s">
        <v>237</v>
      </c>
      <c r="O10" s="104">
        <f>Financials!O24</f>
        <v>209977000</v>
      </c>
      <c r="P10" s="39"/>
      <c r="Q10" s="39"/>
      <c r="R10" s="39"/>
      <c r="S10" s="39"/>
    </row>
    <row r="11" spans="1:19" ht="22" customHeight="1" x14ac:dyDescent="0.2">
      <c r="A11" s="89"/>
      <c r="B11" s="42"/>
      <c r="C11" s="42">
        <f t="shared" ref="C11:J11" si="0">(C10/B10)-1</f>
        <v>-6.9230062144902682E-3</v>
      </c>
      <c r="D11" s="42">
        <f t="shared" si="0"/>
        <v>-1.1288053543112686E-2</v>
      </c>
      <c r="E11" s="42">
        <f t="shared" si="0"/>
        <v>6.4442654662897114E-2</v>
      </c>
      <c r="F11" s="43">
        <f t="shared" si="0"/>
        <v>9.3292900052474037E-2</v>
      </c>
      <c r="G11" s="42">
        <f t="shared" si="0"/>
        <v>4.670081349804156E-2</v>
      </c>
      <c r="H11" s="42">
        <f t="shared" si="0"/>
        <v>4.8071387449625691E-2</v>
      </c>
      <c r="I11" s="42">
        <f t="shared" si="0"/>
        <v>7.9373798407031071E-2</v>
      </c>
      <c r="J11" s="90">
        <f t="shared" si="0"/>
        <v>-8.3969465648854991E-2</v>
      </c>
      <c r="K11" s="90">
        <f>SUM(F11:J11)/5</f>
        <v>3.6693886751663476E-2</v>
      </c>
      <c r="L11" s="41"/>
      <c r="M11" s="41"/>
      <c r="N11" s="103" t="s">
        <v>238</v>
      </c>
      <c r="O11" s="107">
        <f>O9/O10</f>
        <v>0.23404944351047971</v>
      </c>
      <c r="P11" s="39"/>
      <c r="Q11" s="39"/>
      <c r="R11" s="39"/>
      <c r="S11" s="39"/>
    </row>
    <row r="12" spans="1:19" ht="22" customHeight="1" x14ac:dyDescent="0.2">
      <c r="A12" s="85" t="s">
        <v>142</v>
      </c>
      <c r="B12" s="86">
        <v>179748000</v>
      </c>
      <c r="C12" s="86">
        <v>9205000</v>
      </c>
      <c r="D12" s="86">
        <v>157220000</v>
      </c>
      <c r="E12" s="86">
        <v>155177000</v>
      </c>
      <c r="F12" s="91">
        <v>171000000</v>
      </c>
      <c r="G12" s="86">
        <v>222000000</v>
      </c>
      <c r="H12" s="86">
        <v>224000000</v>
      </c>
      <c r="I12" s="86">
        <v>230000000</v>
      </c>
      <c r="J12" s="87">
        <v>238000000</v>
      </c>
      <c r="K12" s="92" t="s">
        <v>239</v>
      </c>
      <c r="L12" s="41"/>
      <c r="M12" s="41"/>
      <c r="N12" s="103" t="s">
        <v>240</v>
      </c>
      <c r="O12" s="107">
        <f>O8*(1-O11)</f>
        <v>4.2905743195695262E-2</v>
      </c>
      <c r="P12" s="39"/>
      <c r="Q12" s="39"/>
      <c r="R12" s="39"/>
      <c r="S12" s="39"/>
    </row>
    <row r="13" spans="1:19" ht="22" customHeight="1" x14ac:dyDescent="0.2">
      <c r="A13" s="89"/>
      <c r="B13" s="42"/>
      <c r="C13" s="42">
        <f t="shared" ref="C13:J13" si="1">(C12/B12)-1</f>
        <v>-0.94878941629392255</v>
      </c>
      <c r="D13" s="42">
        <f t="shared" si="1"/>
        <v>16.079847908745247</v>
      </c>
      <c r="E13" s="42">
        <f t="shared" si="1"/>
        <v>-1.299452995802064E-2</v>
      </c>
      <c r="F13" s="43">
        <f t="shared" si="1"/>
        <v>0.10196743074038039</v>
      </c>
      <c r="G13" s="42">
        <f t="shared" si="1"/>
        <v>0.29824561403508776</v>
      </c>
      <c r="H13" s="42">
        <f t="shared" si="1"/>
        <v>9.009009009008917E-3</v>
      </c>
      <c r="I13" s="42">
        <f t="shared" si="1"/>
        <v>2.6785714285714191E-2</v>
      </c>
      <c r="J13" s="90">
        <f t="shared" si="1"/>
        <v>3.4782608695652195E-2</v>
      </c>
      <c r="K13" s="90">
        <f>SUM(F13:J13)/5</f>
        <v>9.4158075353168696E-2</v>
      </c>
      <c r="L13" s="41"/>
      <c r="M13" s="41"/>
      <c r="N13" s="122" t="s">
        <v>241</v>
      </c>
      <c r="O13" s="123"/>
      <c r="P13" s="39"/>
      <c r="Q13" s="39"/>
      <c r="R13" s="39"/>
      <c r="S13" s="39"/>
    </row>
    <row r="14" spans="1:19" ht="22" customHeight="1" x14ac:dyDescent="0.2">
      <c r="A14" s="93" t="s">
        <v>254</v>
      </c>
      <c r="B14" s="94">
        <f>B12/B10</f>
        <v>6.1882566067044613E-2</v>
      </c>
      <c r="C14" s="94">
        <f t="shared" ref="C14:J14" si="2">C12/C10</f>
        <v>3.1911345740104017E-3</v>
      </c>
      <c r="D14" s="94">
        <f t="shared" si="2"/>
        <v>5.512636251210995E-2</v>
      </c>
      <c r="E14" s="94">
        <f t="shared" si="2"/>
        <v>5.1115972386695623E-2</v>
      </c>
      <c r="F14" s="95">
        <f t="shared" si="2"/>
        <v>5.1521542633323293E-2</v>
      </c>
      <c r="G14" s="94">
        <f t="shared" si="2"/>
        <v>6.3903281519861826E-2</v>
      </c>
      <c r="H14" s="94">
        <f t="shared" si="2"/>
        <v>6.1521560010985993E-2</v>
      </c>
      <c r="I14" s="94">
        <f t="shared" si="2"/>
        <v>5.8524173027989825E-2</v>
      </c>
      <c r="J14" s="96">
        <f t="shared" si="2"/>
        <v>6.6111111111111107E-2</v>
      </c>
      <c r="K14" s="96"/>
      <c r="L14" s="41"/>
      <c r="M14" s="41"/>
      <c r="N14" s="103" t="s">
        <v>243</v>
      </c>
      <c r="O14" s="107">
        <f>'[1]US Treasury Bonds'!$C$8</f>
        <v>4.1210000000000004E-2</v>
      </c>
      <c r="P14" s="39"/>
      <c r="Q14" s="39"/>
      <c r="R14" s="39"/>
      <c r="S14" s="39"/>
    </row>
    <row r="15" spans="1:19" ht="22" customHeight="1" x14ac:dyDescent="0.2">
      <c r="A15" s="85" t="s">
        <v>185</v>
      </c>
      <c r="B15" s="86">
        <v>93196862</v>
      </c>
      <c r="C15" s="86">
        <v>190893000</v>
      </c>
      <c r="D15" s="86">
        <v>190641068</v>
      </c>
      <c r="E15" s="86">
        <v>135471646</v>
      </c>
      <c r="F15" s="91">
        <v>25000000</v>
      </c>
      <c r="G15" s="86">
        <v>164000000</v>
      </c>
      <c r="H15" s="86">
        <v>208000000</v>
      </c>
      <c r="I15" s="86">
        <v>244000000</v>
      </c>
      <c r="J15" s="87">
        <v>275000000</v>
      </c>
      <c r="K15" s="92" t="s">
        <v>242</v>
      </c>
      <c r="L15" s="41"/>
      <c r="M15" s="41"/>
      <c r="N15" s="103" t="s">
        <v>244</v>
      </c>
      <c r="O15" s="108" cm="1">
        <f t="array" ref="O15">_FV(A1,"Beta")</f>
        <v>1.2091000000000001</v>
      </c>
      <c r="P15" s="39"/>
      <c r="Q15" s="39"/>
      <c r="R15" s="39"/>
      <c r="S15" s="39"/>
    </row>
    <row r="16" spans="1:19" ht="22" customHeight="1" x14ac:dyDescent="0.2">
      <c r="A16" s="97"/>
      <c r="B16" s="42"/>
      <c r="C16" s="42">
        <f t="shared" ref="C16:J16" si="3">(C15/B15)-1</f>
        <v>1.0482771190300375</v>
      </c>
      <c r="D16" s="42">
        <f t="shared" si="3"/>
        <v>-1.3197550460205543E-3</v>
      </c>
      <c r="E16" s="42">
        <f t="shared" si="3"/>
        <v>-0.28938896838324468</v>
      </c>
      <c r="F16" s="43">
        <f t="shared" si="3"/>
        <v>-0.81545953903889234</v>
      </c>
      <c r="G16" s="42">
        <f t="shared" si="3"/>
        <v>5.56</v>
      </c>
      <c r="H16" s="42">
        <f t="shared" si="3"/>
        <v>0.26829268292682928</v>
      </c>
      <c r="I16" s="42">
        <f t="shared" si="3"/>
        <v>0.17307692307692313</v>
      </c>
      <c r="J16" s="90">
        <f t="shared" si="3"/>
        <v>0.12704918032786883</v>
      </c>
      <c r="K16" s="90">
        <f>AVERAGE(H16:J16)</f>
        <v>0.18947292877720709</v>
      </c>
      <c r="L16" s="41"/>
      <c r="M16" s="41"/>
      <c r="N16" s="103" t="s">
        <v>245</v>
      </c>
      <c r="O16" s="107">
        <v>8.4000000000000005E-2</v>
      </c>
      <c r="P16" s="39"/>
      <c r="Q16" s="39"/>
      <c r="R16" s="39"/>
      <c r="S16" s="39"/>
    </row>
    <row r="17" spans="1:19" ht="22" customHeight="1" x14ac:dyDescent="0.2">
      <c r="A17" s="93" t="s">
        <v>200</v>
      </c>
      <c r="B17" s="94">
        <f>B15/B10</f>
        <v>3.2085258083295723E-2</v>
      </c>
      <c r="C17" s="94">
        <f t="shared" ref="C17:J17" si="4">C15/C10</f>
        <v>6.6177648260354979E-2</v>
      </c>
      <c r="D17" s="94">
        <f t="shared" si="4"/>
        <v>6.6844858314869637E-2</v>
      </c>
      <c r="E17" s="96">
        <f t="shared" si="4"/>
        <v>4.4624943877740929E-2</v>
      </c>
      <c r="F17" s="94">
        <f t="shared" si="4"/>
        <v>7.5323892738776736E-3</v>
      </c>
      <c r="G17" s="94">
        <f t="shared" si="4"/>
        <v>4.7207829591249278E-2</v>
      </c>
      <c r="H17" s="94">
        <f t="shared" si="4"/>
        <v>5.7127162867344136E-2</v>
      </c>
      <c r="I17" s="94">
        <f t="shared" si="4"/>
        <v>6.2086513994910941E-2</v>
      </c>
      <c r="J17" s="96">
        <f t="shared" si="4"/>
        <v>7.6388888888888895E-2</v>
      </c>
      <c r="K17" s="96"/>
      <c r="L17" s="41"/>
      <c r="M17" s="41"/>
      <c r="N17" s="109" t="s">
        <v>241</v>
      </c>
      <c r="O17" s="110">
        <f>(O14)+((O15)*(O16-O14))</f>
        <v>9.2947389000000005E-2</v>
      </c>
      <c r="P17" s="39"/>
      <c r="Q17" s="39"/>
      <c r="R17" s="39"/>
      <c r="S17" s="39"/>
    </row>
    <row r="18" spans="1:19" ht="22" customHeight="1" x14ac:dyDescent="0.2">
      <c r="A18" s="98" t="s">
        <v>196</v>
      </c>
      <c r="B18" s="99">
        <v>9.9059754679887965E-2</v>
      </c>
      <c r="C18" s="99">
        <v>8.1053549368160241E-2</v>
      </c>
      <c r="D18" s="99">
        <v>7.75328969071091E-2</v>
      </c>
      <c r="E18" s="99">
        <v>8.6633765658240713E-2</v>
      </c>
      <c r="F18" s="100"/>
      <c r="G18" s="99"/>
      <c r="H18" s="99"/>
      <c r="I18" s="99"/>
      <c r="J18" s="101"/>
      <c r="K18" s="102"/>
      <c r="L18" s="41"/>
      <c r="M18" s="41"/>
      <c r="N18" s="122" t="s">
        <v>246</v>
      </c>
      <c r="O18" s="123"/>
      <c r="P18" s="39"/>
      <c r="Q18" s="39"/>
      <c r="R18" s="39"/>
      <c r="S18" s="39"/>
    </row>
    <row r="19" spans="1:19" ht="22" customHeight="1" x14ac:dyDescent="0.2">
      <c r="A19" s="41"/>
      <c r="B19" s="41"/>
      <c r="C19" s="41"/>
      <c r="D19" s="41"/>
      <c r="E19" s="41"/>
      <c r="F19" s="41"/>
      <c r="G19" s="41"/>
      <c r="H19" s="41"/>
      <c r="I19" s="41"/>
      <c r="J19" s="41"/>
      <c r="K19" s="41"/>
      <c r="L19" s="41"/>
      <c r="M19" s="41"/>
      <c r="N19" s="103" t="s">
        <v>224</v>
      </c>
      <c r="O19" s="111">
        <f>O6+O7</f>
        <v>1012776000</v>
      </c>
      <c r="P19" s="39"/>
      <c r="Q19" s="39"/>
      <c r="R19" s="39"/>
      <c r="S19" s="39"/>
    </row>
    <row r="20" spans="1:19" ht="22" customHeight="1" x14ac:dyDescent="0.2">
      <c r="A20" s="41"/>
      <c r="B20" s="41"/>
      <c r="C20" s="41"/>
      <c r="D20" s="41"/>
      <c r="E20" s="41"/>
      <c r="F20" s="41"/>
      <c r="G20" s="41"/>
      <c r="H20" s="41"/>
      <c r="I20" s="41"/>
      <c r="J20" s="41"/>
      <c r="K20" s="41"/>
      <c r="L20" s="41"/>
      <c r="M20" s="41"/>
      <c r="N20" s="103" t="s">
        <v>201</v>
      </c>
      <c r="O20" s="111" cm="1">
        <f t="array" ref="O20">_FV(A1,"Market cap",TRUE)</f>
        <v>4413593000</v>
      </c>
      <c r="P20" s="39"/>
      <c r="Q20" s="39"/>
      <c r="R20" s="39"/>
      <c r="S20" s="39"/>
    </row>
    <row r="21" spans="1:19" ht="22" customHeight="1" x14ac:dyDescent="0.2">
      <c r="A21" s="125" t="str" cm="1">
        <f t="array" ref="A21">_FV(A1,"Industry")</f>
        <v>Aerospace &amp; Defense</v>
      </c>
      <c r="B21" s="125"/>
      <c r="C21" s="125"/>
      <c r="D21" s="126" cm="1">
        <f t="array" ref="D21">_FV(A1,"Year incorporated",TRUE)</f>
        <v>1951</v>
      </c>
      <c r="E21" s="126"/>
      <c r="F21" s="41"/>
      <c r="G21" s="41"/>
      <c r="H21" s="41"/>
      <c r="I21" s="41"/>
      <c r="J21" s="41"/>
      <c r="K21" s="41"/>
      <c r="M21" s="41"/>
      <c r="N21" s="103" t="s">
        <v>247</v>
      </c>
      <c r="O21" s="111">
        <f>O19+O20</f>
        <v>5426369000</v>
      </c>
      <c r="P21" s="39"/>
      <c r="Q21" s="39"/>
      <c r="R21" s="39"/>
      <c r="S21" s="39"/>
    </row>
    <row r="22" spans="1:19" ht="22" customHeight="1" x14ac:dyDescent="0.2">
      <c r="A22" s="124" t="str" cm="1">
        <f t="array" ref="A22">_FV(A1,"Description")</f>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c>
      <c r="B22" s="124"/>
      <c r="C22" s="124"/>
      <c r="D22" s="124"/>
      <c r="E22" s="124"/>
      <c r="F22" s="41"/>
      <c r="G22" s="41"/>
      <c r="H22" s="41"/>
      <c r="I22" s="41"/>
      <c r="J22" s="41"/>
      <c r="K22" s="41"/>
      <c r="L22" s="41"/>
      <c r="M22" s="41"/>
      <c r="N22" s="105" t="s">
        <v>248</v>
      </c>
      <c r="O22" s="112">
        <f>(O19/O21)</f>
        <v>0.18663972169972223</v>
      </c>
      <c r="P22" s="39"/>
      <c r="Q22" s="39"/>
      <c r="R22" s="39"/>
      <c r="S22" s="39"/>
    </row>
    <row r="23" spans="1:19" ht="22" customHeight="1" x14ac:dyDescent="0.2">
      <c r="A23" s="124"/>
      <c r="B23" s="124"/>
      <c r="C23" s="124"/>
      <c r="D23" s="124"/>
      <c r="E23" s="124"/>
      <c r="F23" s="41"/>
      <c r="G23" s="41"/>
      <c r="H23" s="41"/>
      <c r="I23" s="41"/>
      <c r="J23" s="41"/>
      <c r="K23" s="41"/>
      <c r="L23" s="41"/>
      <c r="M23" s="41"/>
      <c r="N23" s="109" t="s">
        <v>249</v>
      </c>
      <c r="O23" s="113">
        <f>O20/O21</f>
        <v>0.81336027830027779</v>
      </c>
      <c r="P23" s="39"/>
      <c r="Q23" s="39"/>
      <c r="R23" s="39"/>
      <c r="S23" s="39"/>
    </row>
    <row r="24" spans="1:19" ht="22" customHeight="1" x14ac:dyDescent="0.2">
      <c r="A24" s="124"/>
      <c r="B24" s="124"/>
      <c r="C24" s="124"/>
      <c r="D24" s="124"/>
      <c r="E24" s="124"/>
      <c r="F24" s="41"/>
      <c r="G24" s="41"/>
      <c r="H24" s="41"/>
      <c r="I24" s="41"/>
      <c r="J24" s="41"/>
      <c r="K24" s="41"/>
      <c r="L24" s="41"/>
      <c r="M24" s="41"/>
      <c r="N24" s="114" t="s">
        <v>250</v>
      </c>
      <c r="O24" s="115"/>
      <c r="P24" s="39"/>
      <c r="Q24" s="39"/>
      <c r="R24" s="39"/>
      <c r="S24" s="39"/>
    </row>
    <row r="25" spans="1:19" ht="22" customHeight="1" x14ac:dyDescent="0.2">
      <c r="A25" s="124"/>
      <c r="B25" s="124"/>
      <c r="C25" s="124"/>
      <c r="D25" s="124"/>
      <c r="E25" s="124"/>
      <c r="F25" s="41"/>
      <c r="G25" s="41"/>
      <c r="H25" s="41"/>
      <c r="I25" s="41"/>
      <c r="J25" s="41"/>
      <c r="K25" s="41"/>
      <c r="L25" s="41"/>
      <c r="M25" s="41"/>
      <c r="N25" s="116">
        <f>(O22*O12)+(O23*O17)</f>
        <v>8.3607630153688495E-2</v>
      </c>
      <c r="O25" s="117"/>
      <c r="P25" s="39"/>
      <c r="Q25" s="39"/>
      <c r="R25" s="39"/>
      <c r="S25" s="39"/>
    </row>
    <row r="26" spans="1:19" ht="22" customHeight="1" x14ac:dyDescent="0.2">
      <c r="A26" s="124"/>
      <c r="B26" s="124"/>
      <c r="C26" s="124"/>
      <c r="D26" s="124"/>
      <c r="E26" s="124"/>
      <c r="F26" s="41"/>
      <c r="G26" s="41"/>
      <c r="H26" s="41"/>
      <c r="I26" s="41"/>
      <c r="J26" s="41"/>
      <c r="K26" s="41"/>
      <c r="L26" s="41"/>
      <c r="M26" s="41"/>
      <c r="N26" s="41"/>
      <c r="O26" s="39"/>
      <c r="P26" s="39"/>
      <c r="Q26" s="39"/>
      <c r="R26" s="39"/>
      <c r="S26" s="39"/>
    </row>
    <row r="27" spans="1:19" ht="22" customHeight="1" x14ac:dyDescent="0.2">
      <c r="A27" s="124"/>
      <c r="B27" s="124"/>
      <c r="C27" s="124"/>
      <c r="D27" s="124"/>
      <c r="E27" s="124"/>
      <c r="F27" s="41"/>
      <c r="G27" s="41"/>
      <c r="H27" s="41"/>
      <c r="I27" s="41"/>
      <c r="J27" s="41"/>
      <c r="K27" s="41"/>
      <c r="L27" s="41"/>
      <c r="M27" s="41"/>
      <c r="N27" s="41"/>
      <c r="O27" s="39"/>
      <c r="P27" s="39"/>
      <c r="Q27" s="39"/>
      <c r="R27" s="39"/>
      <c r="S27" s="39"/>
    </row>
    <row r="28" spans="1:19" ht="22" customHeight="1" x14ac:dyDescent="0.2">
      <c r="A28" s="124"/>
      <c r="B28" s="124"/>
      <c r="C28" s="124"/>
      <c r="D28" s="124"/>
      <c r="E28" s="124"/>
      <c r="F28" s="41"/>
      <c r="G28" s="41"/>
      <c r="H28" s="41"/>
      <c r="I28" s="41"/>
      <c r="J28" s="41"/>
      <c r="K28" s="41"/>
      <c r="L28" s="41"/>
      <c r="M28" s="41"/>
      <c r="N28" s="41"/>
      <c r="O28" s="39"/>
      <c r="P28" s="39"/>
      <c r="Q28" s="39"/>
      <c r="R28" s="39"/>
      <c r="S28" s="39"/>
    </row>
    <row r="29" spans="1:19" ht="22" customHeight="1" x14ac:dyDescent="0.2">
      <c r="A29" s="124"/>
      <c r="B29" s="124"/>
      <c r="C29" s="124"/>
      <c r="D29" s="124"/>
      <c r="E29" s="124"/>
      <c r="F29" s="41"/>
      <c r="G29" s="41"/>
      <c r="H29" s="41"/>
      <c r="I29" s="41"/>
      <c r="J29" s="41"/>
      <c r="K29" s="41"/>
      <c r="L29" s="41"/>
      <c r="M29" s="41"/>
      <c r="N29" s="41"/>
      <c r="O29" s="39"/>
      <c r="P29" s="39"/>
      <c r="Q29" s="39"/>
      <c r="R29" s="39"/>
      <c r="S29" s="39"/>
    </row>
    <row r="30" spans="1:19" ht="22" customHeight="1" x14ac:dyDescent="0.2">
      <c r="A30" s="124"/>
      <c r="B30" s="124"/>
      <c r="C30" s="124"/>
      <c r="D30" s="124"/>
      <c r="E30" s="124"/>
      <c r="F30" s="41"/>
      <c r="G30" s="41"/>
      <c r="H30" s="41"/>
      <c r="I30" s="41"/>
      <c r="J30" s="41"/>
      <c r="K30" s="41"/>
      <c r="L30" s="41"/>
      <c r="M30" s="41"/>
      <c r="N30" s="41"/>
      <c r="O30" s="39"/>
      <c r="P30" s="39"/>
      <c r="Q30" s="39"/>
      <c r="R30" s="39"/>
      <c r="S30" s="39"/>
    </row>
    <row r="31" spans="1:19" x14ac:dyDescent="0.2">
      <c r="A31" s="39"/>
      <c r="B31" s="39"/>
      <c r="C31" s="39"/>
      <c r="D31" s="39"/>
      <c r="E31" s="39"/>
      <c r="F31" s="39"/>
      <c r="G31" s="39"/>
      <c r="H31" s="39"/>
      <c r="I31" s="39"/>
      <c r="J31" s="39"/>
      <c r="K31" s="39"/>
      <c r="L31" s="39"/>
      <c r="M31" s="39"/>
      <c r="N31" s="39"/>
      <c r="O31" s="39"/>
      <c r="P31" s="39"/>
      <c r="Q31" s="39"/>
      <c r="R31" s="39"/>
      <c r="S31" s="39"/>
    </row>
    <row r="32" spans="1:19" x14ac:dyDescent="0.2">
      <c r="A32" s="39"/>
      <c r="B32" s="39"/>
      <c r="C32" s="39"/>
      <c r="D32" s="39"/>
      <c r="E32" s="39"/>
      <c r="F32" s="39"/>
      <c r="G32" s="39"/>
      <c r="H32" s="39"/>
      <c r="I32" s="39"/>
      <c r="J32" s="39"/>
      <c r="K32" s="39"/>
      <c r="L32" s="39"/>
      <c r="M32" s="39"/>
      <c r="N32" s="39"/>
      <c r="O32" s="39"/>
      <c r="P32" s="39"/>
      <c r="Q32" s="39"/>
      <c r="R32" s="39"/>
      <c r="S32" s="39"/>
    </row>
    <row r="33" spans="1:19" x14ac:dyDescent="0.2">
      <c r="A33" s="41"/>
      <c r="B33" s="41"/>
      <c r="C33" s="41"/>
      <c r="D33" s="41"/>
      <c r="E33" s="41"/>
      <c r="F33" s="41"/>
      <c r="G33" s="41"/>
      <c r="H33" s="41"/>
      <c r="I33" s="41"/>
      <c r="J33" s="41"/>
      <c r="K33" s="41"/>
      <c r="L33" s="41"/>
      <c r="M33" s="41"/>
      <c r="N33" s="41"/>
      <c r="O33" s="41"/>
      <c r="P33" s="41"/>
      <c r="Q33" s="39"/>
      <c r="R33" s="39"/>
      <c r="S33" s="39"/>
    </row>
    <row r="34" spans="1:19" x14ac:dyDescent="0.2">
      <c r="A34" s="41"/>
      <c r="B34" s="41"/>
      <c r="C34" s="41"/>
      <c r="D34" s="41"/>
      <c r="E34" s="41"/>
      <c r="F34" s="41"/>
      <c r="G34" s="41"/>
      <c r="H34" s="41"/>
      <c r="I34" s="41"/>
      <c r="J34" s="41"/>
      <c r="K34" s="41"/>
      <c r="L34" s="41"/>
      <c r="M34" s="41"/>
      <c r="N34" s="41"/>
      <c r="O34" s="41"/>
      <c r="P34" s="41"/>
      <c r="Q34" s="39"/>
      <c r="R34" s="39"/>
      <c r="S34" s="39"/>
    </row>
    <row r="35" spans="1:19" x14ac:dyDescent="0.2">
      <c r="A35" s="41"/>
      <c r="B35" s="41"/>
      <c r="C35" s="41"/>
      <c r="D35" s="41"/>
      <c r="E35" s="41"/>
      <c r="F35" s="41"/>
      <c r="G35" s="41"/>
      <c r="H35" s="41"/>
      <c r="I35" s="41"/>
      <c r="J35" s="41"/>
      <c r="K35" s="41"/>
      <c r="L35" s="41"/>
      <c r="M35" s="41"/>
      <c r="N35" s="41"/>
      <c r="O35" s="41"/>
      <c r="P35" s="41"/>
      <c r="Q35" s="39"/>
      <c r="R35" s="39"/>
      <c r="S35" s="39"/>
    </row>
    <row r="36" spans="1:19" x14ac:dyDescent="0.2">
      <c r="A36" s="41"/>
      <c r="B36" s="41"/>
      <c r="C36" s="41"/>
      <c r="D36" s="41"/>
      <c r="E36" s="41"/>
      <c r="F36" s="41"/>
      <c r="G36" s="41"/>
      <c r="H36" s="41"/>
      <c r="I36" s="41"/>
      <c r="J36" s="41"/>
      <c r="K36" s="41"/>
      <c r="L36" s="41"/>
      <c r="M36" s="41"/>
      <c r="N36" s="41"/>
      <c r="O36" s="41"/>
      <c r="P36" s="41"/>
      <c r="Q36" s="39"/>
      <c r="R36" s="39"/>
      <c r="S36" s="39"/>
    </row>
    <row r="37" spans="1:19" x14ac:dyDescent="0.2">
      <c r="A37" s="41"/>
      <c r="B37" s="41"/>
      <c r="C37" s="41"/>
      <c r="D37" s="41"/>
      <c r="E37" s="41"/>
      <c r="F37" s="41"/>
      <c r="G37" s="41"/>
      <c r="H37" s="41"/>
      <c r="I37" s="41"/>
      <c r="J37" s="41"/>
      <c r="K37" s="41"/>
      <c r="L37" s="41"/>
      <c r="M37" s="41"/>
      <c r="N37" s="41"/>
      <c r="O37" s="41"/>
      <c r="P37" s="41"/>
      <c r="Q37" s="39"/>
      <c r="R37" s="39"/>
      <c r="S37" s="39"/>
    </row>
    <row r="38" spans="1:19" x14ac:dyDescent="0.2">
      <c r="A38" s="41"/>
      <c r="B38" s="41"/>
      <c r="C38" s="41"/>
      <c r="D38" s="41"/>
      <c r="E38" s="41"/>
      <c r="F38" s="41"/>
      <c r="G38" s="41"/>
      <c r="H38" s="41"/>
      <c r="I38" s="41"/>
      <c r="J38" s="41"/>
      <c r="K38" s="41"/>
      <c r="L38" s="41"/>
      <c r="M38" s="41"/>
      <c r="N38" s="41"/>
      <c r="O38" s="41"/>
      <c r="P38" s="41"/>
      <c r="Q38" s="39"/>
      <c r="R38" s="39"/>
      <c r="S38" s="39"/>
    </row>
    <row r="39" spans="1:19" x14ac:dyDescent="0.2">
      <c r="A39" s="41"/>
      <c r="B39" s="41"/>
      <c r="C39" s="41"/>
      <c r="D39" s="41"/>
      <c r="E39" s="41"/>
      <c r="F39" s="41"/>
      <c r="G39" s="41"/>
      <c r="H39" s="41"/>
      <c r="I39" s="41"/>
      <c r="J39" s="41"/>
      <c r="K39" s="41"/>
      <c r="L39" s="41"/>
      <c r="M39" s="41"/>
      <c r="N39" s="41"/>
      <c r="O39" s="41"/>
      <c r="P39" s="41"/>
      <c r="Q39" s="39"/>
      <c r="R39" s="39"/>
      <c r="S39" s="39"/>
    </row>
    <row r="40" spans="1:19" x14ac:dyDescent="0.2">
      <c r="A40" s="41"/>
      <c r="B40" s="41"/>
      <c r="C40" s="41"/>
      <c r="D40" s="41"/>
      <c r="E40" s="41"/>
      <c r="F40" s="41"/>
      <c r="G40" s="41"/>
      <c r="H40" s="41"/>
      <c r="I40" s="41"/>
      <c r="J40" s="41"/>
      <c r="K40" s="41"/>
      <c r="L40" s="41"/>
      <c r="M40" s="41"/>
      <c r="N40" s="41"/>
      <c r="O40" s="41"/>
      <c r="P40" s="41"/>
      <c r="Q40" s="39"/>
      <c r="R40" s="39"/>
      <c r="S40" s="39"/>
    </row>
    <row r="41" spans="1:19" x14ac:dyDescent="0.2">
      <c r="A41" s="41"/>
      <c r="B41" s="41"/>
      <c r="C41" s="41"/>
      <c r="D41" s="41"/>
      <c r="E41" s="41"/>
      <c r="F41" s="41"/>
      <c r="G41" s="41"/>
      <c r="H41" s="41"/>
      <c r="I41" s="41"/>
      <c r="J41" s="41"/>
      <c r="K41" s="41"/>
      <c r="L41" s="41"/>
      <c r="M41" s="41"/>
      <c r="N41" s="41"/>
      <c r="O41" s="41"/>
      <c r="P41" s="41"/>
      <c r="Q41" s="39"/>
      <c r="R41" s="39"/>
      <c r="S41" s="39"/>
    </row>
    <row r="42" spans="1:19" x14ac:dyDescent="0.2">
      <c r="A42" s="41"/>
      <c r="B42" s="41"/>
      <c r="C42" s="41"/>
      <c r="D42" s="41"/>
      <c r="E42" s="41"/>
      <c r="F42" s="41"/>
      <c r="G42" s="41"/>
      <c r="H42" s="41"/>
      <c r="I42" s="41"/>
      <c r="J42" s="41"/>
      <c r="K42" s="41"/>
      <c r="L42" s="41"/>
      <c r="M42" s="41"/>
      <c r="N42" s="41"/>
      <c r="O42" s="41"/>
      <c r="P42" s="41"/>
      <c r="Q42" s="39"/>
      <c r="R42" s="39"/>
      <c r="S42" s="39"/>
    </row>
    <row r="43" spans="1:19" x14ac:dyDescent="0.2">
      <c r="A43" s="41"/>
      <c r="B43" s="41"/>
      <c r="C43" s="41"/>
      <c r="D43" s="41"/>
      <c r="E43" s="41"/>
      <c r="F43" s="41"/>
      <c r="G43" s="41"/>
      <c r="H43" s="41"/>
      <c r="I43" s="41"/>
      <c r="J43" s="41"/>
      <c r="K43" s="41"/>
      <c r="L43" s="41"/>
      <c r="M43" s="41"/>
      <c r="N43" s="41"/>
      <c r="O43" s="41"/>
      <c r="P43" s="41"/>
      <c r="Q43" s="39"/>
      <c r="R43" s="39"/>
      <c r="S43" s="39"/>
    </row>
    <row r="44" spans="1:19" x14ac:dyDescent="0.2">
      <c r="A44" s="41"/>
      <c r="B44" s="41"/>
      <c r="C44" s="41"/>
      <c r="D44" s="41"/>
      <c r="E44" s="41"/>
      <c r="F44" s="41"/>
      <c r="G44" s="41"/>
      <c r="H44" s="41"/>
      <c r="I44" s="41"/>
      <c r="J44" s="41"/>
      <c r="K44" s="41"/>
      <c r="L44" s="41"/>
      <c r="M44" s="41"/>
      <c r="N44" s="41"/>
      <c r="O44" s="41"/>
      <c r="P44" s="41"/>
      <c r="Q44" s="39"/>
      <c r="R44" s="39"/>
      <c r="S44" s="39"/>
    </row>
    <row r="45" spans="1:19" x14ac:dyDescent="0.2">
      <c r="A45" s="41"/>
      <c r="B45" s="41"/>
      <c r="C45" s="41"/>
      <c r="D45" s="41"/>
      <c r="E45" s="41"/>
      <c r="F45" s="41"/>
      <c r="G45" s="41"/>
      <c r="H45" s="41"/>
      <c r="I45" s="41"/>
      <c r="J45" s="41"/>
      <c r="K45" s="41"/>
      <c r="L45" s="41"/>
      <c r="M45" s="41"/>
      <c r="N45" s="41"/>
      <c r="O45" s="41"/>
      <c r="P45" s="41"/>
      <c r="Q45" s="39"/>
      <c r="R45" s="39"/>
      <c r="S45" s="39"/>
    </row>
    <row r="46" spans="1:19" x14ac:dyDescent="0.2">
      <c r="A46" s="41"/>
      <c r="B46" s="41"/>
      <c r="C46" s="41"/>
      <c r="D46" s="41"/>
      <c r="E46" s="41"/>
      <c r="F46" s="41"/>
      <c r="G46" s="41"/>
      <c r="H46" s="41"/>
      <c r="I46" s="41"/>
      <c r="J46" s="41"/>
      <c r="K46" s="41"/>
      <c r="L46" s="41"/>
      <c r="M46" s="41"/>
      <c r="N46" s="41"/>
      <c r="O46" s="41"/>
      <c r="P46" s="41"/>
      <c r="Q46" s="39"/>
      <c r="R46" s="39"/>
      <c r="S46" s="39"/>
    </row>
    <row r="47" spans="1:19" x14ac:dyDescent="0.2">
      <c r="A47" s="41"/>
      <c r="B47" s="41"/>
      <c r="C47" s="41"/>
      <c r="D47" s="41"/>
      <c r="E47" s="41"/>
      <c r="F47" s="41"/>
      <c r="G47" s="41"/>
      <c r="H47" s="41"/>
      <c r="I47" s="41"/>
      <c r="J47" s="41"/>
      <c r="K47" s="41"/>
      <c r="L47" s="41"/>
      <c r="M47" s="41"/>
      <c r="N47" s="41"/>
      <c r="O47" s="41"/>
      <c r="P47" s="41"/>
      <c r="Q47" s="39"/>
      <c r="R47" s="39"/>
      <c r="S47" s="39"/>
    </row>
    <row r="48" spans="1:19" x14ac:dyDescent="0.2">
      <c r="A48" s="41"/>
      <c r="B48" s="41"/>
      <c r="C48" s="41"/>
      <c r="D48" s="41"/>
      <c r="E48" s="41"/>
      <c r="F48" s="41"/>
      <c r="G48" s="41"/>
      <c r="H48" s="41"/>
      <c r="I48" s="41"/>
      <c r="J48" s="41"/>
      <c r="K48" s="41"/>
      <c r="L48" s="41"/>
      <c r="M48" s="41"/>
      <c r="N48" s="41"/>
      <c r="O48" s="41"/>
      <c r="P48" s="41"/>
      <c r="Q48" s="39"/>
      <c r="R48" s="39"/>
      <c r="S48" s="39"/>
    </row>
    <row r="49" spans="1:19" x14ac:dyDescent="0.2">
      <c r="A49" s="41"/>
      <c r="B49" s="41"/>
      <c r="C49" s="41"/>
      <c r="D49" s="41"/>
      <c r="E49" s="41"/>
      <c r="F49" s="41"/>
      <c r="G49" s="41"/>
      <c r="H49" s="41"/>
      <c r="I49" s="41"/>
      <c r="J49" s="41"/>
      <c r="K49" s="41"/>
      <c r="L49" s="41"/>
      <c r="M49" s="41"/>
      <c r="N49" s="41"/>
      <c r="O49" s="41"/>
      <c r="P49" s="41"/>
      <c r="Q49" s="39"/>
      <c r="R49" s="39"/>
      <c r="S49" s="39"/>
    </row>
    <row r="50" spans="1:19" x14ac:dyDescent="0.2">
      <c r="A50" s="41"/>
      <c r="B50" s="41"/>
      <c r="C50" s="41"/>
      <c r="D50" s="41"/>
      <c r="E50" s="41"/>
      <c r="F50" s="41"/>
      <c r="G50" s="41"/>
      <c r="H50" s="41"/>
      <c r="I50" s="41"/>
      <c r="J50" s="41"/>
      <c r="K50" s="41"/>
      <c r="L50" s="41"/>
      <c r="M50" s="41"/>
      <c r="N50" s="41"/>
      <c r="O50" s="41"/>
      <c r="P50" s="41"/>
      <c r="Q50" s="39"/>
      <c r="R50" s="39"/>
      <c r="S50" s="39"/>
    </row>
    <row r="51" spans="1:19" x14ac:dyDescent="0.2">
      <c r="A51" s="41"/>
      <c r="B51" s="41"/>
      <c r="C51" s="41"/>
      <c r="D51" s="41"/>
      <c r="E51" s="41"/>
      <c r="F51" s="41"/>
      <c r="G51" s="41"/>
      <c r="H51" s="41"/>
      <c r="I51" s="41"/>
      <c r="J51" s="41"/>
      <c r="K51" s="41"/>
      <c r="L51" s="41"/>
      <c r="M51" s="41"/>
      <c r="N51" s="41"/>
      <c r="O51" s="41"/>
      <c r="P51" s="41"/>
      <c r="Q51" s="39"/>
      <c r="R51" s="39"/>
      <c r="S51" s="39"/>
    </row>
    <row r="52" spans="1:19" x14ac:dyDescent="0.2">
      <c r="A52" s="41"/>
      <c r="B52" s="41"/>
      <c r="C52" s="41"/>
      <c r="D52" s="41"/>
      <c r="E52" s="41"/>
      <c r="F52" s="41"/>
      <c r="G52" s="41"/>
      <c r="H52" s="41"/>
      <c r="I52" s="41"/>
      <c r="J52" s="41"/>
      <c r="K52" s="41"/>
      <c r="L52" s="41"/>
      <c r="M52" s="41"/>
      <c r="N52" s="41"/>
      <c r="O52" s="41"/>
      <c r="P52" s="41"/>
      <c r="Q52" s="39"/>
      <c r="R52" s="39"/>
      <c r="S52" s="39"/>
    </row>
    <row r="53" spans="1:19" x14ac:dyDescent="0.2">
      <c r="A53" s="41"/>
      <c r="B53" s="41"/>
      <c r="C53" s="41"/>
      <c r="D53" s="41"/>
      <c r="E53" s="41"/>
      <c r="F53" s="41"/>
      <c r="G53" s="41"/>
      <c r="H53" s="41"/>
      <c r="I53" s="41"/>
      <c r="J53" s="41"/>
      <c r="K53" s="41"/>
      <c r="L53" s="41"/>
      <c r="M53" s="41"/>
      <c r="N53" s="41"/>
      <c r="O53" s="41"/>
      <c r="P53" s="41"/>
      <c r="Q53" s="39"/>
      <c r="R53" s="39"/>
      <c r="S53" s="39"/>
    </row>
    <row r="54" spans="1:19" x14ac:dyDescent="0.2">
      <c r="A54" s="41"/>
      <c r="B54" s="41"/>
      <c r="C54" s="41"/>
      <c r="D54" s="41"/>
      <c r="E54" s="41"/>
      <c r="F54" s="41"/>
      <c r="G54" s="41"/>
      <c r="H54" s="41"/>
      <c r="I54" s="41"/>
      <c r="J54" s="41"/>
      <c r="K54" s="41"/>
      <c r="L54" s="41"/>
      <c r="M54" s="41"/>
      <c r="N54" s="41"/>
      <c r="O54" s="41"/>
      <c r="P54" s="41"/>
      <c r="Q54" s="39"/>
      <c r="R54" s="39"/>
      <c r="S54" s="39"/>
    </row>
    <row r="55" spans="1:19" x14ac:dyDescent="0.2">
      <c r="A55" s="41"/>
      <c r="B55" s="41"/>
      <c r="C55" s="41"/>
      <c r="D55" s="41"/>
      <c r="E55" s="41"/>
      <c r="F55" s="41"/>
      <c r="G55" s="41"/>
      <c r="H55" s="41"/>
      <c r="I55" s="41"/>
      <c r="J55" s="41"/>
      <c r="K55" s="41"/>
      <c r="L55" s="41"/>
      <c r="M55" s="41"/>
      <c r="N55" s="41"/>
      <c r="O55" s="41"/>
      <c r="P55" s="41"/>
      <c r="Q55" s="39"/>
      <c r="R55" s="39"/>
      <c r="S55" s="39"/>
    </row>
    <row r="56" spans="1:19" x14ac:dyDescent="0.2">
      <c r="A56" s="41"/>
      <c r="B56" s="41"/>
      <c r="C56" s="41"/>
      <c r="D56" s="41"/>
      <c r="E56" s="41"/>
      <c r="F56" s="41"/>
      <c r="G56" s="41"/>
      <c r="H56" s="41"/>
      <c r="I56" s="41"/>
      <c r="J56" s="41"/>
      <c r="K56" s="41"/>
      <c r="L56" s="41"/>
      <c r="M56" s="41"/>
      <c r="N56" s="41"/>
      <c r="O56" s="41"/>
      <c r="P56" s="41"/>
      <c r="Q56" s="39"/>
      <c r="R56" s="39"/>
      <c r="S56" s="39"/>
    </row>
    <row r="57" spans="1:19" x14ac:dyDescent="0.2">
      <c r="A57" s="41"/>
      <c r="B57" s="41"/>
      <c r="C57" s="41"/>
      <c r="D57" s="41"/>
      <c r="E57" s="41"/>
      <c r="F57" s="41"/>
      <c r="G57" s="41"/>
      <c r="H57" s="41"/>
      <c r="I57" s="41"/>
      <c r="J57" s="41"/>
      <c r="K57" s="41"/>
      <c r="L57" s="41"/>
      <c r="M57" s="41"/>
      <c r="N57" s="41"/>
      <c r="O57" s="41"/>
      <c r="P57" s="41"/>
      <c r="Q57" s="39"/>
      <c r="R57" s="39"/>
      <c r="S57" s="39"/>
    </row>
    <row r="58" spans="1:19" x14ac:dyDescent="0.2">
      <c r="A58" s="41"/>
      <c r="B58" s="41"/>
      <c r="C58" s="41"/>
      <c r="D58" s="41"/>
      <c r="E58" s="41"/>
      <c r="F58" s="41"/>
      <c r="G58" s="41"/>
      <c r="H58" s="41"/>
      <c r="I58" s="41"/>
      <c r="J58" s="41"/>
      <c r="K58" s="41"/>
      <c r="L58" s="41"/>
      <c r="M58" s="41"/>
      <c r="N58" s="41"/>
      <c r="O58" s="41"/>
      <c r="P58" s="41"/>
      <c r="Q58" s="39"/>
      <c r="R58" s="39"/>
      <c r="S58" s="39"/>
    </row>
    <row r="59" spans="1:19" x14ac:dyDescent="0.2">
      <c r="A59" s="41"/>
      <c r="B59" s="41"/>
      <c r="C59" s="41"/>
      <c r="D59" s="41"/>
      <c r="E59" s="41"/>
      <c r="F59" s="41"/>
      <c r="G59" s="41"/>
      <c r="H59" s="41"/>
      <c r="I59" s="41"/>
      <c r="J59" s="41"/>
      <c r="K59" s="41"/>
      <c r="L59" s="41"/>
      <c r="M59" s="41"/>
      <c r="N59" s="41"/>
      <c r="O59" s="41"/>
      <c r="P59" s="41"/>
      <c r="Q59" s="39"/>
      <c r="R59" s="39"/>
      <c r="S59" s="39"/>
    </row>
    <row r="60" spans="1:19" x14ac:dyDescent="0.2">
      <c r="A60" s="41"/>
      <c r="B60" s="41"/>
      <c r="C60" s="41"/>
      <c r="D60" s="41"/>
      <c r="E60" s="41"/>
      <c r="F60" s="41"/>
      <c r="G60" s="41"/>
      <c r="H60" s="41"/>
      <c r="I60" s="41"/>
      <c r="J60" s="41"/>
      <c r="K60" s="41"/>
      <c r="L60" s="41"/>
      <c r="M60" s="41"/>
      <c r="N60" s="41"/>
      <c r="O60" s="41"/>
      <c r="P60" s="41"/>
      <c r="Q60" s="39"/>
      <c r="R60" s="39"/>
      <c r="S60" s="39"/>
    </row>
    <row r="61" spans="1:19" x14ac:dyDescent="0.2">
      <c r="A61" s="41"/>
      <c r="B61" s="41"/>
      <c r="C61" s="41"/>
      <c r="D61" s="41"/>
      <c r="E61" s="41"/>
      <c r="F61" s="41"/>
      <c r="G61" s="41"/>
      <c r="H61" s="41"/>
      <c r="I61" s="41"/>
      <c r="J61" s="41"/>
      <c r="K61" s="41"/>
      <c r="L61" s="41"/>
      <c r="M61" s="41"/>
      <c r="N61" s="41"/>
      <c r="O61" s="41"/>
      <c r="P61" s="41"/>
      <c r="Q61" s="39"/>
      <c r="R61" s="39"/>
      <c r="S61" s="39"/>
    </row>
    <row r="62" spans="1:19" x14ac:dyDescent="0.2">
      <c r="O62" s="39"/>
      <c r="P62" s="39"/>
      <c r="Q62" s="39"/>
      <c r="R62" s="39"/>
      <c r="S62" s="39"/>
    </row>
    <row r="63" spans="1:19" x14ac:dyDescent="0.2">
      <c r="O63" s="39"/>
      <c r="P63" s="39"/>
    </row>
    <row r="64" spans="1:19"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MOG.A/explorer/revenue_proj" xr:uid="{78F3F043-C402-9049-96A5-DF87709225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2023-12-09T12:26:38Z</dcterms:modified>
</cp:coreProperties>
</file>