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5D9BB870-4F6B-4744-A9C8-99FB6BF44FB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K13" i="2"/>
  <c r="G3" i="2"/>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E4" i="2" l="1"/>
  <c r="K11"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<sst xmlns="http://schemas.openxmlformats.org/spreadsheetml/2006/main" count="1431" uniqueCount="255">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</sst>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https://www.bing.com/financeapi/forcetrigger?t=a213kr&amp;q=XNAS%3aPOOL&amp;form=skydnc</v>
    <v>Learn more on Bing</v>
  </rv>
  <rv s="1">
    <v>0</v>
    <v>POOL CORPORATION (XNAS:POOL)</v>
    <v>2</v>
    <v>3</v>
    <v>Finance</v>
    <v>4</v>
    <v>en-US</v>
    <v>a213kr</v>
    <v>268435456</v>
    <v>1</v>
    <v>Powered by Refinitiv</v>
    <v>423.97</v>
    <v>295.95</v>
    <v>0.95950000000000002</v>
    <v>-9.6199999999999992</v>
    <v>-2.6446999999999998E-2</v>
    <v>-38.28</v>
    <v>-0.108099</v>
    <v>USD</v>
    <v>Pool Corporation is a wholesale distributor of swimming pool supplies, equipment and related leisure products. The Company also distributes irrigation and landscape products in the United States. The Company operates approximately 420 sales centers in North America, Europe and Australia through its five distribution networks: SCP Distributors (SCP), Superior Pool Products (Superior), Horizon Distributors (Horizon), National Pool Tile (NPT) and Sun Wholesale Supply, Inc. (Sun Wholesale). The Company distributes swimming pool tile, decking materials and interior pool surfacing products through its NPT network, as well as through SCP and Superior networks.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361.87</v>
    <v>Leisure Products</v>
    <v>Stock</v>
    <v>45268.941443645315</v>
    <v>0</v>
    <v>353.51</v>
    <v>13697067680</v>
    <v>POOL CORPORATION</v>
    <v>POOL CORPORATION</v>
    <v>360.25</v>
    <v>26.303699999999999</v>
    <v>363.74</v>
    <v>354.12</v>
    <v>315.83999999999997</v>
    <v>38679170</v>
    <v>POOL</v>
    <v>POOL CORPORATION (XNAS:POOL)</v>
    <v>331417</v>
    <v>314465</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OO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POO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69" workbookViewId="0">
      <pane xSplit="1" topLeftCell="J1" activePane="topRight" state="frozen"/>
      <selection pane="topRight" activeCell="M188" sqref="M188:P188"/>
    </sheetView>
  </sheetViews>
  <sheetFormatPr baseColWidth="10" defaultRowHeight="15" x14ac:dyDescent="0.2"/>
  <cols>
    <col min="1" max="1" width="40.83203125" customWidth="1"/>
    <col min="2" max="22" width="15.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4" t="s">
        <v>20</v>
      </c>
      <c r="B2" s="32">
        <v>1783683000</v>
      </c>
      <c r="C2" s="32">
        <v>1539794000</v>
      </c>
      <c r="D2" s="32">
        <v>1613746000</v>
      </c>
      <c r="E2" s="32">
        <v>1793318000</v>
      </c>
      <c r="F2" s="32">
        <v>1953974000</v>
      </c>
      <c r="G2" s="32">
        <v>2079700000</v>
      </c>
      <c r="H2" s="32">
        <v>2246562000</v>
      </c>
      <c r="I2" s="32">
        <v>2363139000</v>
      </c>
      <c r="J2" s="32">
        <v>2570803000</v>
      </c>
      <c r="K2" s="32">
        <v>2788188000</v>
      </c>
      <c r="L2" s="32">
        <v>2998097000</v>
      </c>
      <c r="M2" s="32">
        <v>3199517000</v>
      </c>
      <c r="N2" s="32">
        <v>3936623000</v>
      </c>
      <c r="O2" s="32">
        <v>5295584000</v>
      </c>
      <c r="P2" s="32">
        <v>6179727000</v>
      </c>
      <c r="Q2" s="33">
        <v>5634464000</v>
      </c>
      <c r="R2" s="32">
        <v>1095920000</v>
      </c>
      <c r="S2" s="32">
        <v>1206774000</v>
      </c>
      <c r="T2" s="32">
        <v>1857363000</v>
      </c>
      <c r="U2" s="32">
        <v>1474407000</v>
      </c>
    </row>
    <row r="3" spans="1:21" ht="16" x14ac:dyDescent="0.2">
      <c r="A3" s="9" t="s">
        <v>193</v>
      </c>
      <c r="B3" s="10"/>
      <c r="C3" s="11">
        <f t="shared" ref="C3:Q3" si="0">(C2/B2)-1</f>
        <v>-0.13673337695094923</v>
      </c>
      <c r="D3" s="11">
        <f t="shared" si="0"/>
        <v>4.8027203638928428E-2</v>
      </c>
      <c r="E3" s="11">
        <f t="shared" si="0"/>
        <v>0.11127649580541177</v>
      </c>
      <c r="F3" s="11">
        <f t="shared" si="0"/>
        <v>8.9585896087587269E-2</v>
      </c>
      <c r="G3" s="11">
        <f t="shared" si="0"/>
        <v>6.4343742547239735E-2</v>
      </c>
      <c r="H3" s="11">
        <f t="shared" si="0"/>
        <v>8.0233687551089172E-2</v>
      </c>
      <c r="I3" s="11">
        <f t="shared" si="0"/>
        <v>5.1891289890953374E-2</v>
      </c>
      <c r="J3" s="11">
        <f t="shared" si="0"/>
        <v>8.787633736314282E-2</v>
      </c>
      <c r="K3" s="11">
        <f t="shared" si="0"/>
        <v>8.4559182481115824E-2</v>
      </c>
      <c r="L3" s="11">
        <f t="shared" si="0"/>
        <v>7.5285095553097481E-2</v>
      </c>
      <c r="M3" s="11">
        <f t="shared" si="0"/>
        <v>6.7182616172859033E-2</v>
      </c>
      <c r="N3" s="11">
        <f t="shared" si="0"/>
        <v>0.23038039804132926</v>
      </c>
      <c r="O3" s="11">
        <f t="shared" si="0"/>
        <v>0.34520984102363883</v>
      </c>
      <c r="P3" s="11">
        <f t="shared" si="0"/>
        <v>0.16695854508209096</v>
      </c>
      <c r="Q3" s="11">
        <f t="shared" si="0"/>
        <v>-8.8234156622129079E-2</v>
      </c>
      <c r="R3" s="11"/>
      <c r="S3" s="11">
        <f t="shared" ref="S3:U3" si="1">(S2/R2)-1</f>
        <v>0.10115154390831438</v>
      </c>
      <c r="T3" s="11">
        <f t="shared" si="1"/>
        <v>0.53911420033908586</v>
      </c>
      <c r="U3" s="11">
        <f t="shared" si="1"/>
        <v>-0.20618263635056799</v>
      </c>
    </row>
    <row r="4" spans="1:21" ht="16" x14ac:dyDescent="0.2">
      <c r="A4" s="3" t="s">
        <v>21</v>
      </c>
      <c r="B4" s="4">
        <v>1783683000</v>
      </c>
      <c r="C4" s="4">
        <v>1539794000</v>
      </c>
      <c r="D4" s="4">
        <v>1613746000</v>
      </c>
      <c r="E4" s="4">
        <v>1793318000</v>
      </c>
      <c r="F4" s="4">
        <v>1953974000</v>
      </c>
      <c r="G4" s="4">
        <v>2079700000</v>
      </c>
      <c r="H4" s="4">
        <v>2246562000</v>
      </c>
      <c r="I4" s="4">
        <v>2363139000</v>
      </c>
      <c r="J4" s="4">
        <v>2570803000</v>
      </c>
      <c r="K4" s="4">
        <v>2788188000</v>
      </c>
      <c r="L4" s="4">
        <v>2998097000</v>
      </c>
      <c r="M4" s="4">
        <v>3199517000</v>
      </c>
      <c r="N4" s="4">
        <v>3936623000</v>
      </c>
      <c r="O4" s="4">
        <v>5295584000</v>
      </c>
      <c r="P4" s="4">
        <v>6179727000</v>
      </c>
      <c r="Q4" s="5">
        <v>5634464000</v>
      </c>
      <c r="R4" s="4">
        <v>1095920000</v>
      </c>
      <c r="S4" s="4">
        <v>1206774000</v>
      </c>
      <c r="T4" s="4">
        <v>1857363000</v>
      </c>
      <c r="U4" s="4">
        <v>1474407000</v>
      </c>
    </row>
    <row r="5" spans="1:21" ht="16" x14ac:dyDescent="0.2">
      <c r="A5" s="3" t="s">
        <v>22</v>
      </c>
      <c r="B5" s="4">
        <v>1268455000</v>
      </c>
      <c r="C5" s="4">
        <v>1090070000</v>
      </c>
      <c r="D5" s="4">
        <v>1142484000</v>
      </c>
      <c r="E5" s="4">
        <v>1261728000</v>
      </c>
      <c r="F5" s="4">
        <v>1386567000</v>
      </c>
      <c r="G5" s="4">
        <v>1488423000</v>
      </c>
      <c r="H5" s="4">
        <v>1603222000</v>
      </c>
      <c r="I5" s="4">
        <v>1687495000</v>
      </c>
      <c r="J5" s="4">
        <v>1829716000</v>
      </c>
      <c r="K5" s="4">
        <v>1982899000</v>
      </c>
      <c r="L5" s="4">
        <v>2127924000</v>
      </c>
      <c r="M5" s="4">
        <v>2274592000</v>
      </c>
      <c r="N5" s="4">
        <v>2805721000</v>
      </c>
      <c r="O5" s="4">
        <v>3678492000</v>
      </c>
      <c r="P5" s="4">
        <v>4246315000</v>
      </c>
      <c r="Q5" s="5">
        <v>3952464000</v>
      </c>
      <c r="R5" s="4">
        <v>780189000</v>
      </c>
      <c r="S5" s="4">
        <v>837019000</v>
      </c>
      <c r="T5" s="4">
        <v>1289580000</v>
      </c>
      <c r="U5" s="4">
        <v>1045676000</v>
      </c>
    </row>
    <row r="6" spans="1:21" ht="16" x14ac:dyDescent="0.2">
      <c r="A6" s="3" t="s">
        <v>23</v>
      </c>
      <c r="B6" s="4">
        <v>1268455000</v>
      </c>
      <c r="C6" s="4">
        <v>1090070000</v>
      </c>
      <c r="D6" s="4">
        <v>1142484000</v>
      </c>
      <c r="E6" s="4">
        <v>1261728000</v>
      </c>
      <c r="F6" s="4">
        <v>1386567000</v>
      </c>
      <c r="G6" s="4">
        <v>1488423000</v>
      </c>
      <c r="H6" s="4">
        <v>1603222000</v>
      </c>
      <c r="I6" s="4">
        <v>1687495000</v>
      </c>
      <c r="J6" s="4">
        <v>1829716000</v>
      </c>
      <c r="K6" s="4">
        <v>1982899000</v>
      </c>
      <c r="L6" s="4">
        <v>2127924000</v>
      </c>
      <c r="M6" s="4">
        <v>2274592000</v>
      </c>
      <c r="N6" s="4">
        <v>2805721000</v>
      </c>
      <c r="O6" s="4">
        <v>3678492000</v>
      </c>
      <c r="P6" s="4">
        <v>4246315000</v>
      </c>
      <c r="Q6" s="5">
        <v>3952464000</v>
      </c>
      <c r="R6" s="4">
        <v>780189000</v>
      </c>
      <c r="S6" s="4">
        <v>837019000</v>
      </c>
      <c r="T6" s="4">
        <v>1289580000</v>
      </c>
      <c r="U6" s="4">
        <v>1045676000</v>
      </c>
    </row>
    <row r="7" spans="1:21" ht="16" x14ac:dyDescent="0.2">
      <c r="A7" s="34" t="s">
        <v>24</v>
      </c>
      <c r="B7" s="32">
        <v>515228000</v>
      </c>
      <c r="C7" s="32">
        <v>449724000</v>
      </c>
      <c r="D7" s="32">
        <v>471262000</v>
      </c>
      <c r="E7" s="32">
        <v>531590000</v>
      </c>
      <c r="F7" s="32">
        <v>567407000</v>
      </c>
      <c r="G7" s="32">
        <v>591277000</v>
      </c>
      <c r="H7" s="32">
        <v>643340000</v>
      </c>
      <c r="I7" s="32">
        <v>675644000</v>
      </c>
      <c r="J7" s="32">
        <v>741087000</v>
      </c>
      <c r="K7" s="32">
        <v>805289000</v>
      </c>
      <c r="L7" s="32">
        <v>870173000</v>
      </c>
      <c r="M7" s="32">
        <v>924925000</v>
      </c>
      <c r="N7" s="32">
        <v>1130902000</v>
      </c>
      <c r="O7" s="32">
        <v>1617092000</v>
      </c>
      <c r="P7" s="32">
        <v>1933412000</v>
      </c>
      <c r="Q7" s="33">
        <v>1682000000</v>
      </c>
      <c r="R7" s="32">
        <v>315731000</v>
      </c>
      <c r="S7" s="32">
        <v>369755000</v>
      </c>
      <c r="T7" s="32">
        <v>567783000</v>
      </c>
      <c r="U7" s="32">
        <v>428731000</v>
      </c>
    </row>
    <row r="8" spans="1:21" ht="16" x14ac:dyDescent="0.2">
      <c r="A8" s="29" t="s">
        <v>60</v>
      </c>
      <c r="B8" s="30">
        <v>28.89</v>
      </c>
      <c r="C8" s="30">
        <v>29.21</v>
      </c>
      <c r="D8" s="30">
        <v>29.2</v>
      </c>
      <c r="E8" s="30">
        <v>29.64</v>
      </c>
      <c r="F8" s="30">
        <v>29.04</v>
      </c>
      <c r="G8" s="30">
        <v>28.43</v>
      </c>
      <c r="H8" s="30">
        <v>28.64</v>
      </c>
      <c r="I8" s="30">
        <v>28.59</v>
      </c>
      <c r="J8" s="30">
        <v>28.83</v>
      </c>
      <c r="K8" s="30">
        <v>28.88</v>
      </c>
      <c r="L8" s="30">
        <v>29.02</v>
      </c>
      <c r="M8" s="30">
        <v>28.91</v>
      </c>
      <c r="N8" s="30">
        <v>28.73</v>
      </c>
      <c r="O8" s="30">
        <v>30.54</v>
      </c>
      <c r="P8" s="30">
        <v>31.29</v>
      </c>
      <c r="Q8" s="31">
        <v>29.85</v>
      </c>
      <c r="R8" s="30">
        <v>28.81</v>
      </c>
      <c r="S8" s="30">
        <v>30.64</v>
      </c>
      <c r="T8" s="30">
        <v>30.57</v>
      </c>
      <c r="U8" s="30">
        <v>29.08</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399752000</v>
      </c>
      <c r="C10" s="4">
        <v>361284000</v>
      </c>
      <c r="D10" s="4">
        <v>370017000</v>
      </c>
      <c r="E10" s="4">
        <v>406523000</v>
      </c>
      <c r="F10" s="4">
        <v>415592000</v>
      </c>
      <c r="G10" s="4">
        <v>425791000</v>
      </c>
      <c r="H10" s="4">
        <v>454470000</v>
      </c>
      <c r="I10" s="4">
        <v>459422000</v>
      </c>
      <c r="J10" s="4">
        <v>485228000</v>
      </c>
      <c r="K10" s="4">
        <v>520918000</v>
      </c>
      <c r="L10" s="4">
        <v>556284000</v>
      </c>
      <c r="M10" s="4">
        <v>583679000</v>
      </c>
      <c r="N10" s="4">
        <v>659931000</v>
      </c>
      <c r="O10" s="4">
        <v>786808000</v>
      </c>
      <c r="P10" s="4">
        <v>907629000</v>
      </c>
      <c r="Q10" s="5">
        <v>907482000</v>
      </c>
      <c r="R10" s="4">
        <v>208436000</v>
      </c>
      <c r="S10" s="4">
        <v>223984000</v>
      </c>
      <c r="T10" s="4">
        <v>240774000</v>
      </c>
      <c r="U10" s="4">
        <v>234288000</v>
      </c>
    </row>
    <row r="11" spans="1:21" ht="16" x14ac:dyDescent="0.2">
      <c r="A11" s="29" t="s">
        <v>28</v>
      </c>
      <c r="B11" s="32">
        <v>399752000</v>
      </c>
      <c r="C11" s="32">
        <v>361284000</v>
      </c>
      <c r="D11" s="32">
        <v>370017000</v>
      </c>
      <c r="E11" s="32">
        <v>406523000</v>
      </c>
      <c r="F11" s="32">
        <v>415592000</v>
      </c>
      <c r="G11" s="32">
        <v>425791000</v>
      </c>
      <c r="H11" s="32">
        <v>454470000</v>
      </c>
      <c r="I11" s="32">
        <v>459422000</v>
      </c>
      <c r="J11" s="32">
        <v>485228000</v>
      </c>
      <c r="K11" s="32">
        <v>520918000</v>
      </c>
      <c r="L11" s="32">
        <v>556284000</v>
      </c>
      <c r="M11" s="32">
        <v>583679000</v>
      </c>
      <c r="N11" s="32">
        <v>659931000</v>
      </c>
      <c r="O11" s="32">
        <v>786808000</v>
      </c>
      <c r="P11" s="32">
        <v>907629000</v>
      </c>
      <c r="Q11" s="33">
        <v>907482000</v>
      </c>
      <c r="R11" s="32">
        <v>208436000</v>
      </c>
      <c r="S11" s="32">
        <v>223984000</v>
      </c>
      <c r="T11" s="32">
        <v>240774000</v>
      </c>
      <c r="U11" s="32">
        <v>234288000</v>
      </c>
    </row>
    <row r="12" spans="1:21" ht="16" x14ac:dyDescent="0.2">
      <c r="A12" s="12" t="s">
        <v>194</v>
      </c>
      <c r="B12" s="11">
        <f t="shared" ref="B12:U12" si="2">B11/B2</f>
        <v>0.224116056496586</v>
      </c>
      <c r="C12" s="11">
        <f t="shared" si="2"/>
        <v>0.23463138575679604</v>
      </c>
      <c r="D12" s="11">
        <f t="shared" si="2"/>
        <v>0.2292907310072341</v>
      </c>
      <c r="E12" s="11">
        <f t="shared" si="2"/>
        <v>0.22668762595367917</v>
      </c>
      <c r="F12" s="11">
        <f t="shared" si="2"/>
        <v>0.21269064992676465</v>
      </c>
      <c r="G12" s="11">
        <f t="shared" si="2"/>
        <v>0.2047367408760879</v>
      </c>
      <c r="H12" s="11">
        <f t="shared" si="2"/>
        <v>0.20229577461027115</v>
      </c>
      <c r="I12" s="11">
        <f t="shared" si="2"/>
        <v>0.19441175487349666</v>
      </c>
      <c r="J12" s="11">
        <f t="shared" si="2"/>
        <v>0.18874569541112252</v>
      </c>
      <c r="K12" s="11">
        <f t="shared" si="2"/>
        <v>0.18683029982196322</v>
      </c>
      <c r="L12" s="11">
        <f t="shared" si="2"/>
        <v>0.18554569782098446</v>
      </c>
      <c r="M12" s="11">
        <f t="shared" si="2"/>
        <v>0.18242722260891253</v>
      </c>
      <c r="N12" s="11">
        <f t="shared" si="2"/>
        <v>0.1676388620398753</v>
      </c>
      <c r="O12" s="11">
        <f t="shared" si="2"/>
        <v>0.14857813604694026</v>
      </c>
      <c r="P12" s="11">
        <f t="shared" si="2"/>
        <v>0.14687202201650656</v>
      </c>
      <c r="Q12" s="11">
        <f t="shared" si="2"/>
        <v>0.16105915309779245</v>
      </c>
      <c r="R12" s="11">
        <f t="shared" si="2"/>
        <v>0.1901927147967005</v>
      </c>
      <c r="S12" s="11">
        <f t="shared" si="2"/>
        <v>0.18560558977903072</v>
      </c>
      <c r="T12" s="11">
        <f t="shared" si="2"/>
        <v>0.12963217206329619</v>
      </c>
      <c r="U12" s="11">
        <f t="shared" si="2"/>
        <v>0.15890320650946449</v>
      </c>
    </row>
    <row r="13" spans="1:21" ht="16" x14ac:dyDescent="0.2">
      <c r="A13" s="29" t="s">
        <v>29</v>
      </c>
      <c r="B13" s="32">
        <v>0</v>
      </c>
      <c r="C13" s="32">
        <v>0</v>
      </c>
      <c r="D13" s="32">
        <v>0</v>
      </c>
      <c r="E13" s="32">
        <v>0</v>
      </c>
      <c r="F13" s="32">
        <v>0</v>
      </c>
      <c r="G13" s="32">
        <v>0</v>
      </c>
      <c r="H13" s="32">
        <v>0</v>
      </c>
      <c r="I13" s="32">
        <v>0</v>
      </c>
      <c r="J13" s="32">
        <v>0</v>
      </c>
      <c r="K13" s="32">
        <v>0</v>
      </c>
      <c r="L13" s="32">
        <v>0</v>
      </c>
      <c r="M13" s="32">
        <v>0</v>
      </c>
      <c r="N13" s="32">
        <v>0</v>
      </c>
      <c r="O13" s="32">
        <v>0</v>
      </c>
      <c r="P13" s="32">
        <v>0</v>
      </c>
      <c r="Q13" s="33">
        <v>0</v>
      </c>
      <c r="R13" s="32">
        <v>0</v>
      </c>
      <c r="S13" s="32">
        <v>0</v>
      </c>
      <c r="T13" s="32">
        <v>0</v>
      </c>
      <c r="U13" s="32">
        <v>0</v>
      </c>
    </row>
    <row r="14" spans="1:21" ht="16" x14ac:dyDescent="0.2">
      <c r="A14" s="13" t="s">
        <v>195</v>
      </c>
      <c r="B14" s="14">
        <v>0</v>
      </c>
      <c r="C14" s="14">
        <v>0</v>
      </c>
      <c r="D14" s="14">
        <v>0</v>
      </c>
      <c r="E14" s="14">
        <v>0</v>
      </c>
      <c r="F14" s="14">
        <v>0</v>
      </c>
      <c r="G14" s="14">
        <v>0</v>
      </c>
      <c r="H14" s="14">
        <v>0</v>
      </c>
      <c r="I14" s="14">
        <v>0</v>
      </c>
      <c r="J14" s="14">
        <v>0</v>
      </c>
      <c r="K14" s="14">
        <f t="shared" ref="K14:U14" si="3">K13/K2</f>
        <v>0</v>
      </c>
      <c r="L14" s="14">
        <f t="shared" si="3"/>
        <v>0</v>
      </c>
      <c r="M14" s="14">
        <f t="shared" si="3"/>
        <v>0</v>
      </c>
      <c r="N14" s="14">
        <f t="shared" si="3"/>
        <v>0</v>
      </c>
      <c r="O14" s="14">
        <f t="shared" si="3"/>
        <v>0</v>
      </c>
      <c r="P14" s="14">
        <f t="shared" si="3"/>
        <v>0</v>
      </c>
      <c r="Q14" s="14">
        <f t="shared" si="3"/>
        <v>0</v>
      </c>
      <c r="R14" s="14">
        <f t="shared" si="3"/>
        <v>0</v>
      </c>
      <c r="S14" s="14">
        <f t="shared" si="3"/>
        <v>0</v>
      </c>
      <c r="T14" s="14">
        <f t="shared" si="3"/>
        <v>0</v>
      </c>
      <c r="U14" s="14">
        <f t="shared" si="3"/>
        <v>0</v>
      </c>
    </row>
    <row r="15" spans="1:21" ht="16" x14ac:dyDescent="0.2">
      <c r="A15" s="3" t="s">
        <v>30</v>
      </c>
      <c r="B15" s="4" t="s">
        <v>26</v>
      </c>
      <c r="C15" s="4" t="s">
        <v>26</v>
      </c>
      <c r="D15" s="4" t="s">
        <v>26</v>
      </c>
      <c r="E15" s="4" t="s">
        <v>26</v>
      </c>
      <c r="F15" s="4" t="s">
        <v>26</v>
      </c>
      <c r="G15" s="4" t="s">
        <v>26</v>
      </c>
      <c r="H15" s="4" t="s">
        <v>26</v>
      </c>
      <c r="I15" s="4" t="s">
        <v>26</v>
      </c>
      <c r="J15" s="4" t="s">
        <v>26</v>
      </c>
      <c r="K15" s="4" t="s">
        <v>26</v>
      </c>
      <c r="L15" s="4" t="s">
        <v>26</v>
      </c>
      <c r="M15" s="4" t="s">
        <v>26</v>
      </c>
      <c r="N15" s="4" t="s">
        <v>26</v>
      </c>
      <c r="O15" s="4" t="s">
        <v>26</v>
      </c>
      <c r="P15" s="4" t="s">
        <v>26</v>
      </c>
      <c r="Q15" s="5" t="s">
        <v>26</v>
      </c>
      <c r="R15" s="4" t="s">
        <v>26</v>
      </c>
      <c r="S15" s="4" t="s">
        <v>26</v>
      </c>
      <c r="T15" s="4" t="s">
        <v>26</v>
      </c>
      <c r="U15" s="4" t="s">
        <v>26</v>
      </c>
    </row>
    <row r="16" spans="1:21" ht="16" x14ac:dyDescent="0.2">
      <c r="A16" s="34" t="s">
        <v>31</v>
      </c>
      <c r="B16" s="32">
        <v>115476000</v>
      </c>
      <c r="C16" s="32">
        <v>88440000</v>
      </c>
      <c r="D16" s="32">
        <v>101245000</v>
      </c>
      <c r="E16" s="32">
        <v>125067000</v>
      </c>
      <c r="F16" s="32">
        <v>151815000</v>
      </c>
      <c r="G16" s="32">
        <v>165486000</v>
      </c>
      <c r="H16" s="32">
        <v>188870000</v>
      </c>
      <c r="I16" s="32">
        <v>216222000</v>
      </c>
      <c r="J16" s="32">
        <v>255859000</v>
      </c>
      <c r="K16" s="32">
        <v>284371000</v>
      </c>
      <c r="L16" s="32">
        <v>313889000</v>
      </c>
      <c r="M16" s="32">
        <v>341246000</v>
      </c>
      <c r="N16" s="32">
        <v>470971000</v>
      </c>
      <c r="O16" s="32">
        <v>830284000</v>
      </c>
      <c r="P16" s="32">
        <v>1025783000</v>
      </c>
      <c r="Q16" s="33">
        <v>774518000</v>
      </c>
      <c r="R16" s="32">
        <v>107295000</v>
      </c>
      <c r="S16" s="32">
        <v>145771000</v>
      </c>
      <c r="T16" s="32">
        <v>327009000</v>
      </c>
      <c r="U16" s="32">
        <v>194443000</v>
      </c>
    </row>
    <row r="17" spans="1:21" ht="16" x14ac:dyDescent="0.2">
      <c r="A17" s="29" t="s">
        <v>61</v>
      </c>
      <c r="B17" s="30">
        <v>6.47</v>
      </c>
      <c r="C17" s="30">
        <v>5.74</v>
      </c>
      <c r="D17" s="30">
        <v>6.27</v>
      </c>
      <c r="E17" s="30">
        <v>6.97</v>
      </c>
      <c r="F17" s="30">
        <v>7.77</v>
      </c>
      <c r="G17" s="30">
        <v>7.96</v>
      </c>
      <c r="H17" s="30">
        <v>8.41</v>
      </c>
      <c r="I17" s="30">
        <v>9.15</v>
      </c>
      <c r="J17" s="30">
        <v>9.9499999999999993</v>
      </c>
      <c r="K17" s="30">
        <v>10.199999999999999</v>
      </c>
      <c r="L17" s="30">
        <v>10.47</v>
      </c>
      <c r="M17" s="30">
        <v>10.67</v>
      </c>
      <c r="N17" s="30">
        <v>11.96</v>
      </c>
      <c r="O17" s="30">
        <v>15.68</v>
      </c>
      <c r="P17" s="30">
        <v>16.600000000000001</v>
      </c>
      <c r="Q17" s="31">
        <v>13.75</v>
      </c>
      <c r="R17" s="30">
        <v>9.7899999999999991</v>
      </c>
      <c r="S17" s="30">
        <v>12.08</v>
      </c>
      <c r="T17" s="30">
        <v>17.61</v>
      </c>
      <c r="U17" s="30">
        <v>13.19</v>
      </c>
    </row>
    <row r="18" spans="1:21" ht="16" x14ac:dyDescent="0.2">
      <c r="A18" s="15" t="s">
        <v>196</v>
      </c>
      <c r="B18" s="10"/>
      <c r="C18" s="11">
        <f>(C16/B16)-1</f>
        <v>-0.23412657175516993</v>
      </c>
      <c r="D18" s="11">
        <f>(D16/C16)-1</f>
        <v>0.14478742650384446</v>
      </c>
      <c r="E18" s="11">
        <f>(E16/D16)-1</f>
        <v>0.23529063163613029</v>
      </c>
      <c r="F18" s="11">
        <f t="shared" ref="F18:Q18" si="4">(F16/E16)-1</f>
        <v>0.21386936601981343</v>
      </c>
      <c r="G18" s="11">
        <f t="shared" si="4"/>
        <v>9.0050390277640613E-2</v>
      </c>
      <c r="H18" s="11">
        <f t="shared" si="4"/>
        <v>0.14130500465296159</v>
      </c>
      <c r="I18" s="11">
        <f t="shared" si="4"/>
        <v>0.14481918780113312</v>
      </c>
      <c r="J18" s="11">
        <f t="shared" si="4"/>
        <v>0.18331622129108038</v>
      </c>
      <c r="K18" s="11">
        <f t="shared" si="4"/>
        <v>0.11143637706705656</v>
      </c>
      <c r="L18" s="11">
        <f t="shared" si="4"/>
        <v>0.10380102049787077</v>
      </c>
      <c r="M18" s="11">
        <f t="shared" si="4"/>
        <v>8.7155013396455372E-2</v>
      </c>
      <c r="N18" s="11">
        <f t="shared" si="4"/>
        <v>0.38015097612865789</v>
      </c>
      <c r="O18" s="11">
        <f t="shared" si="4"/>
        <v>0.76291958528232096</v>
      </c>
      <c r="P18" s="11">
        <f t="shared" si="4"/>
        <v>0.23546039668354446</v>
      </c>
      <c r="Q18" s="11">
        <f t="shared" si="4"/>
        <v>-0.24494946786991012</v>
      </c>
      <c r="R18" s="11"/>
      <c r="S18" s="11">
        <f t="shared" ref="S18:U18" si="5">(S16/R16)-1</f>
        <v>0.35860012116128437</v>
      </c>
      <c r="T18" s="11">
        <f t="shared" si="5"/>
        <v>1.2433062817707228</v>
      </c>
      <c r="U18" s="11">
        <f t="shared" si="5"/>
        <v>-0.40538945411288374</v>
      </c>
    </row>
    <row r="19" spans="1:21" ht="16" x14ac:dyDescent="0.2">
      <c r="A19" s="3" t="s">
        <v>32</v>
      </c>
      <c r="B19" s="4">
        <v>18912000</v>
      </c>
      <c r="C19" s="4">
        <v>9667000</v>
      </c>
      <c r="D19" s="4">
        <v>6619000</v>
      </c>
      <c r="E19" s="4">
        <v>7964000</v>
      </c>
      <c r="F19" s="4">
        <v>13415000</v>
      </c>
      <c r="G19" s="4">
        <v>6748000</v>
      </c>
      <c r="H19" s="4">
        <v>7485000</v>
      </c>
      <c r="I19" s="4">
        <v>8072000</v>
      </c>
      <c r="J19" s="4">
        <v>14481000</v>
      </c>
      <c r="K19" s="4">
        <v>15189000</v>
      </c>
      <c r="L19" s="4">
        <v>20896000</v>
      </c>
      <c r="M19" s="4">
        <v>23772000</v>
      </c>
      <c r="N19" s="4">
        <v>19297000</v>
      </c>
      <c r="O19" s="4">
        <v>6139000</v>
      </c>
      <c r="P19" s="4">
        <v>40911000</v>
      </c>
      <c r="Q19" s="5">
        <v>61808000</v>
      </c>
      <c r="R19" s="4">
        <v>15482000</v>
      </c>
      <c r="S19" s="4">
        <v>15835000</v>
      </c>
      <c r="T19" s="4">
        <v>16892000</v>
      </c>
      <c r="U19" s="4">
        <v>13599000</v>
      </c>
    </row>
    <row r="20" spans="1:21" ht="16" x14ac:dyDescent="0.2">
      <c r="A20" s="3" t="s">
        <v>33</v>
      </c>
      <c r="B20" s="4">
        <v>-18912000</v>
      </c>
      <c r="C20" s="4">
        <v>9667000</v>
      </c>
      <c r="D20" s="4">
        <v>6619000</v>
      </c>
      <c r="E20" s="4">
        <v>7964000</v>
      </c>
      <c r="F20" s="4">
        <v>6469000</v>
      </c>
      <c r="G20" s="4">
        <v>6748000</v>
      </c>
      <c r="H20" s="4">
        <v>7485000</v>
      </c>
      <c r="I20" s="4">
        <v>8072000</v>
      </c>
      <c r="J20" s="4">
        <v>14481000</v>
      </c>
      <c r="K20" s="4">
        <v>15189000</v>
      </c>
      <c r="L20" s="4">
        <v>20896000</v>
      </c>
      <c r="M20" s="4">
        <v>23772000</v>
      </c>
      <c r="N20" s="4">
        <v>12353000</v>
      </c>
      <c r="O20" s="4">
        <v>8639000</v>
      </c>
      <c r="P20" s="4">
        <v>40911000</v>
      </c>
      <c r="Q20" s="5">
        <v>28025000</v>
      </c>
      <c r="R20" s="4">
        <v>15483000</v>
      </c>
      <c r="S20" s="4">
        <v>15835000</v>
      </c>
      <c r="T20" s="4">
        <v>-16892000</v>
      </c>
      <c r="U20" s="4">
        <v>13599000</v>
      </c>
    </row>
    <row r="21" spans="1:21" ht="16" x14ac:dyDescent="0.2">
      <c r="A21" s="3" t="s">
        <v>34</v>
      </c>
      <c r="B21" s="4">
        <v>-18912000</v>
      </c>
      <c r="C21" s="4">
        <v>9667000</v>
      </c>
      <c r="D21" s="4">
        <v>6619000</v>
      </c>
      <c r="E21" s="4">
        <v>7964000</v>
      </c>
      <c r="F21" s="4">
        <v>6469000</v>
      </c>
      <c r="G21" s="4">
        <v>6748000</v>
      </c>
      <c r="H21" s="4">
        <v>7485000</v>
      </c>
      <c r="I21" s="4">
        <v>8072000</v>
      </c>
      <c r="J21" s="4">
        <v>14481000</v>
      </c>
      <c r="K21" s="4">
        <v>15189000</v>
      </c>
      <c r="L21" s="4">
        <v>20896000</v>
      </c>
      <c r="M21" s="4">
        <v>23772000</v>
      </c>
      <c r="N21" s="4">
        <v>12353000</v>
      </c>
      <c r="O21" s="4">
        <v>8639000</v>
      </c>
      <c r="P21" s="4">
        <v>40911000</v>
      </c>
      <c r="Q21" s="5">
        <v>28025000</v>
      </c>
      <c r="R21" s="4">
        <v>15483000</v>
      </c>
      <c r="S21" s="4">
        <v>15835000</v>
      </c>
      <c r="T21" s="4">
        <v>-16892000</v>
      </c>
      <c r="U21" s="4">
        <v>13599000</v>
      </c>
    </row>
    <row r="22" spans="1:21" ht="16" x14ac:dyDescent="0.2">
      <c r="A22" s="3" t="s">
        <v>35</v>
      </c>
      <c r="B22" s="4" t="s">
        <v>26</v>
      </c>
      <c r="C22" s="4" t="s">
        <v>26</v>
      </c>
      <c r="D22" s="4" t="s">
        <v>26</v>
      </c>
      <c r="E22" s="4" t="s">
        <v>26</v>
      </c>
      <c r="F22" s="4" t="s">
        <v>26</v>
      </c>
      <c r="G22" s="4" t="s">
        <v>26</v>
      </c>
      <c r="H22" s="4" t="s">
        <v>26</v>
      </c>
      <c r="I22" s="4" t="s">
        <v>26</v>
      </c>
      <c r="J22" s="4" t="s">
        <v>26</v>
      </c>
      <c r="K22" s="4" t="s">
        <v>26</v>
      </c>
      <c r="L22" s="4" t="s">
        <v>26</v>
      </c>
      <c r="M22" s="4" t="s">
        <v>26</v>
      </c>
      <c r="N22" s="4" t="s">
        <v>26</v>
      </c>
      <c r="O22" s="4" t="s">
        <v>26</v>
      </c>
      <c r="P22" s="4" t="s">
        <v>26</v>
      </c>
      <c r="Q22" s="5" t="s">
        <v>26</v>
      </c>
      <c r="R22" s="4" t="s">
        <v>26</v>
      </c>
      <c r="S22" s="4" t="s">
        <v>26</v>
      </c>
      <c r="T22" s="4" t="s">
        <v>26</v>
      </c>
      <c r="U22" s="4" t="s">
        <v>26</v>
      </c>
    </row>
    <row r="23" spans="1:21" ht="16" x14ac:dyDescent="0.2">
      <c r="A23" s="3" t="s">
        <v>36</v>
      </c>
      <c r="B23" s="4">
        <v>37824000</v>
      </c>
      <c r="C23" s="4" t="s">
        <v>26</v>
      </c>
      <c r="D23" s="4" t="s">
        <v>26</v>
      </c>
      <c r="E23" s="4" t="s">
        <v>26</v>
      </c>
      <c r="F23" s="4">
        <v>6946000</v>
      </c>
      <c r="G23" s="4" t="s">
        <v>26</v>
      </c>
      <c r="H23" s="4" t="s">
        <v>26</v>
      </c>
      <c r="I23" s="4" t="s">
        <v>26</v>
      </c>
      <c r="J23" s="4" t="s">
        <v>26</v>
      </c>
      <c r="K23" s="4" t="s">
        <v>26</v>
      </c>
      <c r="L23" s="4" t="s">
        <v>26</v>
      </c>
      <c r="M23" s="4" t="s">
        <v>26</v>
      </c>
      <c r="N23" s="4">
        <v>6944000</v>
      </c>
      <c r="O23" s="4">
        <v>-2500000</v>
      </c>
      <c r="P23" s="4" t="s">
        <v>26</v>
      </c>
      <c r="Q23" s="5">
        <v>33783000</v>
      </c>
      <c r="R23" s="4">
        <v>-1000</v>
      </c>
      <c r="S23" s="4" t="s">
        <v>26</v>
      </c>
      <c r="T23" s="4">
        <v>33784000</v>
      </c>
      <c r="U23" s="4" t="s">
        <v>26</v>
      </c>
    </row>
    <row r="24" spans="1:21" ht="16" x14ac:dyDescent="0.2">
      <c r="A24" s="3" t="s">
        <v>37</v>
      </c>
      <c r="B24" s="4">
        <v>96564000</v>
      </c>
      <c r="C24" s="4">
        <v>78773000</v>
      </c>
      <c r="D24" s="4">
        <v>94626000</v>
      </c>
      <c r="E24" s="4">
        <v>117103000</v>
      </c>
      <c r="F24" s="4">
        <v>138400000</v>
      </c>
      <c r="G24" s="4">
        <v>158738000</v>
      </c>
      <c r="H24" s="4">
        <v>181385000</v>
      </c>
      <c r="I24" s="4">
        <v>208150000</v>
      </c>
      <c r="J24" s="4">
        <v>241378000</v>
      </c>
      <c r="K24" s="4">
        <v>269182000</v>
      </c>
      <c r="L24" s="4">
        <v>292993000</v>
      </c>
      <c r="M24" s="4">
        <v>317474000</v>
      </c>
      <c r="N24" s="4">
        <v>451674000</v>
      </c>
      <c r="O24" s="4">
        <v>824145000</v>
      </c>
      <c r="P24" s="4">
        <v>984872000</v>
      </c>
      <c r="Q24" s="5">
        <v>712710000</v>
      </c>
      <c r="R24" s="4">
        <v>91813000</v>
      </c>
      <c r="S24" s="4">
        <v>129936000</v>
      </c>
      <c r="T24" s="4">
        <v>310117000</v>
      </c>
      <c r="U24" s="4">
        <v>180844000</v>
      </c>
    </row>
    <row r="25" spans="1:21" ht="16" x14ac:dyDescent="0.2">
      <c r="A25" s="3" t="s">
        <v>38</v>
      </c>
      <c r="B25" s="4">
        <v>37911000</v>
      </c>
      <c r="C25" s="4">
        <v>30957000</v>
      </c>
      <c r="D25" s="4">
        <v>37093000</v>
      </c>
      <c r="E25" s="4">
        <v>45319000</v>
      </c>
      <c r="F25" s="4">
        <v>56744000</v>
      </c>
      <c r="G25" s="4">
        <v>61590000</v>
      </c>
      <c r="H25" s="4">
        <v>70559000</v>
      </c>
      <c r="I25" s="4">
        <v>80137000</v>
      </c>
      <c r="J25" s="4">
        <v>92931000</v>
      </c>
      <c r="K25" s="4">
        <v>77982000</v>
      </c>
      <c r="L25" s="4">
        <v>58774000</v>
      </c>
      <c r="M25" s="4">
        <v>56161000</v>
      </c>
      <c r="N25" s="4">
        <v>85231000</v>
      </c>
      <c r="O25" s="4">
        <v>173812000</v>
      </c>
      <c r="P25" s="4">
        <v>236763000</v>
      </c>
      <c r="Q25" s="5">
        <v>169415000</v>
      </c>
      <c r="R25" s="4">
        <v>20076000</v>
      </c>
      <c r="S25" s="4">
        <v>28273000</v>
      </c>
      <c r="T25" s="4">
        <v>77987000</v>
      </c>
      <c r="U25" s="4">
        <v>43079000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56956000</v>
      </c>
      <c r="C27" s="4">
        <v>19202000</v>
      </c>
      <c r="D27" s="4">
        <v>57638000</v>
      </c>
      <c r="E27" s="4">
        <v>71993000</v>
      </c>
      <c r="F27" s="4">
        <v>81972000</v>
      </c>
      <c r="G27" s="4">
        <v>97330000</v>
      </c>
      <c r="H27" s="4">
        <v>111030000</v>
      </c>
      <c r="I27" s="4">
        <v>128224000</v>
      </c>
      <c r="J27" s="4">
        <v>148603000</v>
      </c>
      <c r="K27" s="4">
        <v>191339000</v>
      </c>
      <c r="L27" s="4">
        <v>234461000</v>
      </c>
      <c r="M27" s="4">
        <v>261575000</v>
      </c>
      <c r="N27" s="4">
        <v>366738000</v>
      </c>
      <c r="O27" s="4">
        <v>650624000</v>
      </c>
      <c r="P27" s="4">
        <v>748462000</v>
      </c>
      <c r="Q27" s="5">
        <v>543655000</v>
      </c>
      <c r="R27" s="4">
        <v>71863000</v>
      </c>
      <c r="S27" s="4">
        <v>101699000</v>
      </c>
      <c r="T27" s="4">
        <v>232250000</v>
      </c>
      <c r="U27" s="4">
        <v>137843000</v>
      </c>
    </row>
    <row r="28" spans="1:21" ht="16" x14ac:dyDescent="0.2">
      <c r="A28" s="3" t="s">
        <v>41</v>
      </c>
      <c r="B28" s="4" t="s">
        <v>26</v>
      </c>
      <c r="C28" s="4" t="s">
        <v>26</v>
      </c>
      <c r="D28" s="4" t="s">
        <v>26</v>
      </c>
      <c r="E28" s="4" t="s">
        <v>26</v>
      </c>
      <c r="F28" s="4" t="s">
        <v>26</v>
      </c>
      <c r="G28" s="4" t="s">
        <v>26</v>
      </c>
      <c r="H28" s="4">
        <v>676000</v>
      </c>
      <c r="I28" s="4">
        <v>-102000</v>
      </c>
      <c r="J28" s="4">
        <v>-704000</v>
      </c>
      <c r="K28" s="4">
        <v>-588000</v>
      </c>
      <c r="L28" s="4" t="s">
        <v>26</v>
      </c>
      <c r="M28" s="4" t="s">
        <v>26</v>
      </c>
      <c r="N28" s="4" t="s">
        <v>26</v>
      </c>
      <c r="O28" s="4" t="s">
        <v>26</v>
      </c>
      <c r="P28" s="4" t="s">
        <v>26</v>
      </c>
      <c r="Q28" s="5" t="s">
        <v>26</v>
      </c>
      <c r="R28" s="4" t="s">
        <v>26</v>
      </c>
      <c r="S28" s="4" t="s">
        <v>26</v>
      </c>
      <c r="T28" s="4" t="s">
        <v>26</v>
      </c>
      <c r="U28" s="4" t="s">
        <v>26</v>
      </c>
    </row>
    <row r="29" spans="1:21" ht="16" x14ac:dyDescent="0.2">
      <c r="A29" s="3" t="s">
        <v>42</v>
      </c>
      <c r="B29" s="4" t="s">
        <v>26</v>
      </c>
      <c r="C29" s="4" t="s">
        <v>26</v>
      </c>
      <c r="D29" s="4" t="s">
        <v>26</v>
      </c>
      <c r="E29" s="4" t="s">
        <v>26</v>
      </c>
      <c r="F29" s="4" t="s">
        <v>26</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t="s">
        <v>26</v>
      </c>
      <c r="C30" s="4" t="s">
        <v>26</v>
      </c>
      <c r="D30" s="4" t="s">
        <v>26</v>
      </c>
      <c r="E30" s="4" t="s">
        <v>26</v>
      </c>
      <c r="F30" s="4" t="s">
        <v>26</v>
      </c>
      <c r="G30" s="4" t="s">
        <v>26</v>
      </c>
      <c r="H30" s="4">
        <v>676000</v>
      </c>
      <c r="I30" s="4">
        <v>-102000</v>
      </c>
      <c r="J30" s="4">
        <v>-704000</v>
      </c>
      <c r="K30" s="4">
        <v>-588000</v>
      </c>
      <c r="L30" s="4" t="s">
        <v>26</v>
      </c>
      <c r="M30" s="4" t="s">
        <v>26</v>
      </c>
      <c r="N30" s="4" t="s">
        <v>26</v>
      </c>
      <c r="O30" s="4" t="s">
        <v>26</v>
      </c>
      <c r="P30" s="4" t="s">
        <v>26</v>
      </c>
      <c r="Q30" s="5" t="s">
        <v>26</v>
      </c>
      <c r="R30" s="4" t="s">
        <v>26</v>
      </c>
      <c r="S30" s="4" t="s">
        <v>26</v>
      </c>
      <c r="T30" s="4" t="s">
        <v>26</v>
      </c>
      <c r="U30" s="4" t="s">
        <v>26</v>
      </c>
    </row>
    <row r="31" spans="1:21" ht="16" x14ac:dyDescent="0.2">
      <c r="A31" s="3" t="s">
        <v>44</v>
      </c>
      <c r="B31" s="4">
        <v>56956000</v>
      </c>
      <c r="C31" s="4">
        <v>19202000</v>
      </c>
      <c r="D31" s="4">
        <v>57638000</v>
      </c>
      <c r="E31" s="4">
        <v>71993000</v>
      </c>
      <c r="F31" s="4">
        <v>81972000</v>
      </c>
      <c r="G31" s="4">
        <v>97330000</v>
      </c>
      <c r="H31" s="4">
        <v>110354000</v>
      </c>
      <c r="I31" s="4">
        <v>128326000</v>
      </c>
      <c r="J31" s="4">
        <v>149307000</v>
      </c>
      <c r="K31" s="4">
        <v>191927000</v>
      </c>
      <c r="L31" s="4">
        <v>234461000</v>
      </c>
      <c r="M31" s="4">
        <v>261575000</v>
      </c>
      <c r="N31" s="4">
        <v>366738000</v>
      </c>
      <c r="O31" s="4">
        <v>650624000</v>
      </c>
      <c r="P31" s="4">
        <v>748462000</v>
      </c>
      <c r="Q31" s="5">
        <v>543655000</v>
      </c>
      <c r="R31" s="4">
        <v>71863000</v>
      </c>
      <c r="S31" s="4">
        <v>101699000</v>
      </c>
      <c r="T31" s="4">
        <v>232250000</v>
      </c>
      <c r="U31" s="4">
        <v>137843000</v>
      </c>
    </row>
    <row r="32" spans="1:21" ht="16" x14ac:dyDescent="0.2">
      <c r="A32" s="3" t="s">
        <v>45</v>
      </c>
      <c r="B32" s="4" t="s">
        <v>26</v>
      </c>
      <c r="C32" s="4" t="s">
        <v>26</v>
      </c>
      <c r="D32" s="4" t="s">
        <v>26</v>
      </c>
      <c r="E32" s="4" t="s">
        <v>26</v>
      </c>
      <c r="F32" s="4" t="s">
        <v>26</v>
      </c>
      <c r="G32" s="4" t="s">
        <v>26</v>
      </c>
      <c r="H32" s="4">
        <v>-338000</v>
      </c>
      <c r="I32" s="4">
        <v>51000</v>
      </c>
      <c r="J32" s="4">
        <v>352000</v>
      </c>
      <c r="K32" s="4">
        <v>294000</v>
      </c>
      <c r="L32" s="4" t="s">
        <v>26</v>
      </c>
      <c r="M32" s="4" t="s">
        <v>26</v>
      </c>
      <c r="N32" s="4" t="s">
        <v>26</v>
      </c>
      <c r="O32" s="4" t="s">
        <v>26</v>
      </c>
      <c r="P32" s="4" t="s">
        <v>26</v>
      </c>
      <c r="Q32" s="5" t="s">
        <v>26</v>
      </c>
      <c r="R32" s="4" t="s">
        <v>26</v>
      </c>
      <c r="S32" s="4" t="s">
        <v>26</v>
      </c>
      <c r="T32" s="4" t="s">
        <v>26</v>
      </c>
      <c r="U32" s="4" t="s">
        <v>26</v>
      </c>
    </row>
    <row r="33" spans="1:21" ht="16" x14ac:dyDescent="0.2">
      <c r="A33" s="34" t="s">
        <v>46</v>
      </c>
      <c r="B33" s="32">
        <v>56956000</v>
      </c>
      <c r="C33" s="32">
        <v>19202000</v>
      </c>
      <c r="D33" s="32">
        <v>57638000</v>
      </c>
      <c r="E33" s="32">
        <v>71993000</v>
      </c>
      <c r="F33" s="32">
        <v>81972000</v>
      </c>
      <c r="G33" s="32">
        <v>97330000</v>
      </c>
      <c r="H33" s="32">
        <v>110692000</v>
      </c>
      <c r="I33" s="32">
        <v>128275000</v>
      </c>
      <c r="J33" s="32">
        <v>148955000</v>
      </c>
      <c r="K33" s="32">
        <v>191633000</v>
      </c>
      <c r="L33" s="32">
        <v>234461000</v>
      </c>
      <c r="M33" s="32">
        <v>261575000</v>
      </c>
      <c r="N33" s="32">
        <v>366738000</v>
      </c>
      <c r="O33" s="32">
        <v>650624000</v>
      </c>
      <c r="P33" s="32">
        <v>748462000</v>
      </c>
      <c r="Q33" s="33">
        <v>543655000</v>
      </c>
      <c r="R33" s="32">
        <v>71863000</v>
      </c>
      <c r="S33" s="32">
        <v>101699000</v>
      </c>
      <c r="T33" s="32">
        <v>232250000</v>
      </c>
      <c r="U33" s="32">
        <v>137843000</v>
      </c>
    </row>
    <row r="34" spans="1:21" ht="16" x14ac:dyDescent="0.2">
      <c r="A34" s="29" t="s">
        <v>62</v>
      </c>
      <c r="B34" s="30">
        <v>3.19</v>
      </c>
      <c r="C34" s="30">
        <v>1.25</v>
      </c>
      <c r="D34" s="30">
        <v>3.57</v>
      </c>
      <c r="E34" s="30">
        <v>4.01</v>
      </c>
      <c r="F34" s="30">
        <v>4.2</v>
      </c>
      <c r="G34" s="30">
        <v>4.68</v>
      </c>
      <c r="H34" s="30">
        <v>4.93</v>
      </c>
      <c r="I34" s="30">
        <v>5.43</v>
      </c>
      <c r="J34" s="30">
        <v>5.79</v>
      </c>
      <c r="K34" s="30">
        <v>6.87</v>
      </c>
      <c r="L34" s="30">
        <v>7.82</v>
      </c>
      <c r="M34" s="30">
        <v>8.18</v>
      </c>
      <c r="N34" s="30">
        <v>9.32</v>
      </c>
      <c r="O34" s="30">
        <v>12.29</v>
      </c>
      <c r="P34" s="30">
        <v>12.11</v>
      </c>
      <c r="Q34" s="31">
        <v>9.65</v>
      </c>
      <c r="R34" s="30">
        <v>6.56</v>
      </c>
      <c r="S34" s="30">
        <v>8.43</v>
      </c>
      <c r="T34" s="30">
        <v>12.5</v>
      </c>
      <c r="U34" s="30">
        <v>9.35</v>
      </c>
    </row>
    <row r="35" spans="1:21" ht="16" x14ac:dyDescent="0.2">
      <c r="A35" s="16" t="s">
        <v>197</v>
      </c>
      <c r="B35" s="17"/>
      <c r="C35" s="14">
        <f>(C33/B33)-1</f>
        <v>-0.66286256057307402</v>
      </c>
      <c r="D35" s="14">
        <f>(D33/C33)-1</f>
        <v>2.0016664930736381</v>
      </c>
      <c r="E35" s="14">
        <f>(E33/D33)-1</f>
        <v>0.24905444324924519</v>
      </c>
      <c r="F35" s="14">
        <f t="shared" ref="F35:Q35" si="6">(F33/E33)-1</f>
        <v>0.13861069826233097</v>
      </c>
      <c r="G35" s="14">
        <f t="shared" si="6"/>
        <v>0.18735665837115123</v>
      </c>
      <c r="H35" s="14">
        <f t="shared" si="6"/>
        <v>0.13728552347683132</v>
      </c>
      <c r="I35" s="14">
        <f t="shared" si="6"/>
        <v>0.15884616774473304</v>
      </c>
      <c r="J35" s="14">
        <f t="shared" si="6"/>
        <v>0.16121613720522321</v>
      </c>
      <c r="K35" s="14">
        <f t="shared" si="6"/>
        <v>0.28651606189788859</v>
      </c>
      <c r="L35" s="14">
        <f t="shared" si="6"/>
        <v>0.22348969123272089</v>
      </c>
      <c r="M35" s="14">
        <f t="shared" si="6"/>
        <v>0.11564396637393859</v>
      </c>
      <c r="N35" s="14">
        <f t="shared" si="6"/>
        <v>0.4020376565038708</v>
      </c>
      <c r="O35" s="14">
        <f t="shared" si="6"/>
        <v>0.77408395094045335</v>
      </c>
      <c r="P35" s="14">
        <f t="shared" si="6"/>
        <v>0.15037563938618925</v>
      </c>
      <c r="Q35" s="14">
        <f t="shared" si="6"/>
        <v>-0.27363713855880456</v>
      </c>
      <c r="R35" s="14"/>
      <c r="S35" s="14">
        <f t="shared" ref="S35:U35" si="7">(S33/R33)-1</f>
        <v>0.4151788820394362</v>
      </c>
      <c r="T35" s="14">
        <f t="shared" si="7"/>
        <v>1.2836999380524881</v>
      </c>
      <c r="U35" s="14">
        <f t="shared" si="7"/>
        <v>-0.40648869752421957</v>
      </c>
    </row>
    <row r="36" spans="1:21" ht="16" x14ac:dyDescent="0.2">
      <c r="A36" s="18" t="s">
        <v>198</v>
      </c>
      <c r="B36" s="19">
        <f t="shared" ref="B36:U36" si="8">(B16*(1-0.25))/(B126+B105+B96)</f>
        <v>0.15203893005545638</v>
      </c>
      <c r="C36" s="19">
        <f t="shared" si="8"/>
        <v>0.13236271334582528</v>
      </c>
      <c r="D36" s="19">
        <f t="shared" si="8"/>
        <v>0.1568827270172887</v>
      </c>
      <c r="E36" s="19">
        <f t="shared" si="8"/>
        <v>0.17796612581298807</v>
      </c>
      <c r="F36" s="19">
        <f t="shared" si="8"/>
        <v>0.22215615537102362</v>
      </c>
      <c r="G36" s="19">
        <f t="shared" si="8"/>
        <v>0.23303117296177872</v>
      </c>
      <c r="H36" s="19">
        <f t="shared" si="8"/>
        <v>0.25062810736212598</v>
      </c>
      <c r="I36" s="19">
        <f t="shared" si="8"/>
        <v>0.27699083452613166</v>
      </c>
      <c r="J36" s="19">
        <f t="shared" si="8"/>
        <v>0.29831893254898545</v>
      </c>
      <c r="K36" s="19">
        <f t="shared" si="8"/>
        <v>0.28712896946133259</v>
      </c>
      <c r="L36" s="19">
        <f t="shared" si="8"/>
        <v>0.26440892412093658</v>
      </c>
      <c r="M36" s="19">
        <f t="shared" si="8"/>
        <v>0.23268422669971142</v>
      </c>
      <c r="N36" s="19">
        <f t="shared" si="8"/>
        <v>0.27960558343208192</v>
      </c>
      <c r="O36" s="19">
        <f t="shared" si="8"/>
        <v>0.24916772435030482</v>
      </c>
      <c r="P36" s="19">
        <f t="shared" si="8"/>
        <v>0.26565338487074841</v>
      </c>
      <c r="Q36" s="19">
        <f t="shared" si="8"/>
        <v>0.21115424670530694</v>
      </c>
      <c r="R36" s="19">
        <f t="shared" si="8"/>
        <v>2.7786851536540334E-2</v>
      </c>
      <c r="S36" s="19">
        <f t="shared" si="8"/>
        <v>3.7679958890172519E-2</v>
      </c>
      <c r="T36" s="19">
        <f t="shared" si="8"/>
        <v>8.3778746164729925E-2</v>
      </c>
      <c r="U36" s="19">
        <f t="shared" si="8"/>
        <v>5.3010343455052046E-2</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56956000</v>
      </c>
      <c r="C39" s="4">
        <v>19202000</v>
      </c>
      <c r="D39" s="4">
        <v>57638000</v>
      </c>
      <c r="E39" s="4">
        <v>71993000</v>
      </c>
      <c r="F39" s="4">
        <v>81972000</v>
      </c>
      <c r="G39" s="4">
        <v>97330000</v>
      </c>
      <c r="H39" s="4">
        <v>110692000</v>
      </c>
      <c r="I39" s="4">
        <v>128275000</v>
      </c>
      <c r="J39" s="4">
        <v>148955000</v>
      </c>
      <c r="K39" s="4">
        <v>191633000</v>
      </c>
      <c r="L39" s="4">
        <v>234461000</v>
      </c>
      <c r="M39" s="4">
        <v>261575000</v>
      </c>
      <c r="N39" s="4">
        <v>366738000</v>
      </c>
      <c r="O39" s="4">
        <v>650624000</v>
      </c>
      <c r="P39" s="4">
        <v>748462000</v>
      </c>
      <c r="Q39" s="5">
        <v>543655000</v>
      </c>
      <c r="R39" s="4">
        <v>71863000</v>
      </c>
      <c r="S39" s="4">
        <v>101699000</v>
      </c>
      <c r="T39" s="4">
        <v>232250000</v>
      </c>
      <c r="U39" s="4">
        <v>137843000</v>
      </c>
    </row>
    <row r="40" spans="1:21" ht="16" x14ac:dyDescent="0.2">
      <c r="A40" s="3" t="s">
        <v>50</v>
      </c>
      <c r="B40" s="4">
        <v>47861000</v>
      </c>
      <c r="C40" s="4">
        <v>48649000</v>
      </c>
      <c r="D40" s="4">
        <v>49469000</v>
      </c>
      <c r="E40" s="4">
        <v>48158000</v>
      </c>
      <c r="F40" s="4">
        <v>46937000</v>
      </c>
      <c r="G40" s="4">
        <v>46282000</v>
      </c>
      <c r="H40" s="4">
        <v>44281000</v>
      </c>
      <c r="I40" s="4">
        <v>43105000</v>
      </c>
      <c r="J40" s="4">
        <v>41872000</v>
      </c>
      <c r="K40" s="4">
        <v>40838000</v>
      </c>
      <c r="L40" s="4">
        <v>40311000</v>
      </c>
      <c r="M40" s="4">
        <v>39833000</v>
      </c>
      <c r="N40" s="4">
        <v>40106000</v>
      </c>
      <c r="O40" s="4">
        <v>39876000</v>
      </c>
      <c r="P40" s="4">
        <v>39409000</v>
      </c>
      <c r="Q40" s="5">
        <v>38822000</v>
      </c>
      <c r="R40" s="4">
        <v>38839000</v>
      </c>
      <c r="S40" s="4">
        <v>38877000</v>
      </c>
      <c r="T40" s="4">
        <v>38837000</v>
      </c>
      <c r="U40" s="4">
        <v>38735000</v>
      </c>
    </row>
    <row r="41" spans="1:21" ht="16" x14ac:dyDescent="0.2">
      <c r="A41" s="3" t="s">
        <v>51</v>
      </c>
      <c r="B41" s="6">
        <v>1.19</v>
      </c>
      <c r="C41" s="6">
        <v>0.39</v>
      </c>
      <c r="D41" s="6">
        <v>1.17</v>
      </c>
      <c r="E41" s="6">
        <v>1.49</v>
      </c>
      <c r="F41" s="6">
        <v>1.75</v>
      </c>
      <c r="G41" s="6">
        <v>2.1</v>
      </c>
      <c r="H41" s="6">
        <v>2.5</v>
      </c>
      <c r="I41" s="6">
        <v>2.98</v>
      </c>
      <c r="J41" s="6">
        <v>3.56</v>
      </c>
      <c r="K41" s="6">
        <v>4.6900000000000004</v>
      </c>
      <c r="L41" s="6">
        <v>5.82</v>
      </c>
      <c r="M41" s="6">
        <v>6.57</v>
      </c>
      <c r="N41" s="6">
        <v>9.14</v>
      </c>
      <c r="O41" s="6">
        <v>16.32</v>
      </c>
      <c r="P41" s="6">
        <v>18.989999999999998</v>
      </c>
      <c r="Q41" s="5">
        <v>14</v>
      </c>
      <c r="R41" s="6">
        <v>1.85</v>
      </c>
      <c r="S41" s="6">
        <v>2.62</v>
      </c>
      <c r="T41" s="6">
        <v>5.98</v>
      </c>
      <c r="U41" s="6">
        <v>3.56</v>
      </c>
    </row>
    <row r="42" spans="1:21" ht="16" x14ac:dyDescent="0.2">
      <c r="A42" s="3" t="s">
        <v>52</v>
      </c>
      <c r="B42" s="6">
        <v>1.19</v>
      </c>
      <c r="C42" s="6">
        <v>0.39</v>
      </c>
      <c r="D42" s="6">
        <v>1.17</v>
      </c>
      <c r="E42" s="6">
        <v>1.49</v>
      </c>
      <c r="F42" s="6">
        <v>1.75</v>
      </c>
      <c r="G42" s="6">
        <v>2.1</v>
      </c>
      <c r="H42" s="6">
        <v>2.5099999999999998</v>
      </c>
      <c r="I42" s="6">
        <v>2.97</v>
      </c>
      <c r="J42" s="6">
        <v>3.55</v>
      </c>
      <c r="K42" s="6">
        <v>4.6900000000000004</v>
      </c>
      <c r="L42" s="6">
        <v>5.82</v>
      </c>
      <c r="M42" s="6">
        <v>6.57</v>
      </c>
      <c r="N42" s="6">
        <v>9.14</v>
      </c>
      <c r="O42" s="6">
        <v>16.32</v>
      </c>
      <c r="P42" s="6">
        <v>18.989999999999998</v>
      </c>
      <c r="Q42" s="5">
        <v>14</v>
      </c>
      <c r="R42" s="6">
        <v>1.85</v>
      </c>
      <c r="S42" s="6">
        <v>2.62</v>
      </c>
      <c r="T42" s="6">
        <v>5.98</v>
      </c>
      <c r="U42" s="6">
        <v>3.56</v>
      </c>
    </row>
    <row r="43" spans="1:21" ht="16" x14ac:dyDescent="0.2">
      <c r="A43" s="3" t="s">
        <v>53</v>
      </c>
      <c r="B43" s="4">
        <v>48488000</v>
      </c>
      <c r="C43" s="4">
        <v>49049000</v>
      </c>
      <c r="D43" s="4">
        <v>50161000</v>
      </c>
      <c r="E43" s="4">
        <v>48987000</v>
      </c>
      <c r="F43" s="4">
        <v>48058000</v>
      </c>
      <c r="G43" s="4">
        <v>47530000</v>
      </c>
      <c r="H43" s="4">
        <v>45441000</v>
      </c>
      <c r="I43" s="4">
        <v>44254000</v>
      </c>
      <c r="J43" s="4">
        <v>42984000</v>
      </c>
      <c r="K43" s="4">
        <v>42449000</v>
      </c>
      <c r="L43" s="4">
        <v>41693000</v>
      </c>
      <c r="M43" s="4">
        <v>40865000</v>
      </c>
      <c r="N43" s="4">
        <v>40865000</v>
      </c>
      <c r="O43" s="4">
        <v>40480000</v>
      </c>
      <c r="P43" s="4">
        <v>39806000</v>
      </c>
      <c r="Q43" s="5">
        <v>39128750</v>
      </c>
      <c r="R43" s="4">
        <v>39188000</v>
      </c>
      <c r="S43" s="4">
        <v>39189000</v>
      </c>
      <c r="T43" s="4">
        <v>39115000</v>
      </c>
      <c r="U43" s="4">
        <v>39023000</v>
      </c>
    </row>
    <row r="44" spans="1:21" ht="16" x14ac:dyDescent="0.2">
      <c r="A44" s="3" t="s">
        <v>54</v>
      </c>
      <c r="B44" s="6">
        <v>1.17</v>
      </c>
      <c r="C44" s="6">
        <v>0.39</v>
      </c>
      <c r="D44" s="6">
        <v>1.1499999999999999</v>
      </c>
      <c r="E44" s="6">
        <v>1.47</v>
      </c>
      <c r="F44" s="6">
        <v>1.71</v>
      </c>
      <c r="G44" s="6">
        <v>2.0499999999999998</v>
      </c>
      <c r="H44" s="6">
        <v>2.44</v>
      </c>
      <c r="I44" s="6">
        <v>2.9</v>
      </c>
      <c r="J44" s="6">
        <v>3.47</v>
      </c>
      <c r="K44" s="6">
        <v>4.51</v>
      </c>
      <c r="L44" s="6">
        <v>5.62</v>
      </c>
      <c r="M44" s="6">
        <v>6.4</v>
      </c>
      <c r="N44" s="6">
        <v>8.9700000000000006</v>
      </c>
      <c r="O44" s="6">
        <v>16.07</v>
      </c>
      <c r="P44" s="6">
        <v>18.8</v>
      </c>
      <c r="Q44" s="7">
        <v>13.89</v>
      </c>
      <c r="R44" s="6">
        <v>1.83</v>
      </c>
      <c r="S44" s="6">
        <v>2.6</v>
      </c>
      <c r="T44" s="6">
        <v>5.94</v>
      </c>
      <c r="U44" s="6">
        <v>3.53</v>
      </c>
    </row>
    <row r="45" spans="1:21" ht="16" x14ac:dyDescent="0.2">
      <c r="A45" s="3" t="s">
        <v>55</v>
      </c>
      <c r="B45" s="6">
        <v>1.17</v>
      </c>
      <c r="C45" s="6">
        <v>0.39</v>
      </c>
      <c r="D45" s="6">
        <v>1.1499999999999999</v>
      </c>
      <c r="E45" s="6">
        <v>1.47</v>
      </c>
      <c r="F45" s="6">
        <v>1.71</v>
      </c>
      <c r="G45" s="6">
        <v>2.0499999999999998</v>
      </c>
      <c r="H45" s="6">
        <v>2.44</v>
      </c>
      <c r="I45" s="6">
        <v>2.9</v>
      </c>
      <c r="J45" s="6">
        <v>3.46</v>
      </c>
      <c r="K45" s="6">
        <v>4.51</v>
      </c>
      <c r="L45" s="6">
        <v>5.62</v>
      </c>
      <c r="M45" s="6">
        <v>6.4</v>
      </c>
      <c r="N45" s="6">
        <v>8.9700000000000006</v>
      </c>
      <c r="O45" s="6">
        <v>16.07</v>
      </c>
      <c r="P45" s="6">
        <v>18.8</v>
      </c>
      <c r="Q45" s="7">
        <v>13.89</v>
      </c>
      <c r="R45" s="6">
        <v>1.83</v>
      </c>
      <c r="S45" s="6">
        <v>2.6</v>
      </c>
      <c r="T45" s="6">
        <v>5.94</v>
      </c>
      <c r="U45" s="6">
        <v>3.53</v>
      </c>
    </row>
    <row r="46" spans="1:21" ht="16" x14ac:dyDescent="0.2">
      <c r="A46" s="3" t="s">
        <v>56</v>
      </c>
      <c r="B46" s="4">
        <v>128930000</v>
      </c>
      <c r="C46" s="4">
        <v>99985000</v>
      </c>
      <c r="D46" s="4">
        <v>112573000</v>
      </c>
      <c r="E46" s="4">
        <v>136372000</v>
      </c>
      <c r="F46" s="4">
        <v>164691000</v>
      </c>
      <c r="G46" s="4">
        <v>180082000</v>
      </c>
      <c r="H46" s="4">
        <v>204752000</v>
      </c>
      <c r="I46" s="4">
        <v>233610000</v>
      </c>
      <c r="J46" s="4">
        <v>277836000</v>
      </c>
      <c r="K46" s="4">
        <v>310096000</v>
      </c>
      <c r="L46" s="4">
        <v>341804000</v>
      </c>
      <c r="M46" s="4">
        <v>370520000</v>
      </c>
      <c r="N46" s="4">
        <v>500369000</v>
      </c>
      <c r="O46" s="4">
        <v>860310000</v>
      </c>
      <c r="P46" s="4">
        <v>1064808000</v>
      </c>
      <c r="Q46" s="5">
        <v>813628000</v>
      </c>
      <c r="R46" s="4">
        <v>116625000</v>
      </c>
      <c r="S46" s="4">
        <v>155538000</v>
      </c>
      <c r="T46" s="4">
        <v>336771000</v>
      </c>
      <c r="U46" s="4">
        <v>204694000</v>
      </c>
    </row>
    <row r="47" spans="1:21" ht="16" x14ac:dyDescent="0.2">
      <c r="A47" s="3" t="s">
        <v>57</v>
      </c>
      <c r="B47" s="6">
        <v>7.23</v>
      </c>
      <c r="C47" s="6">
        <v>6.49</v>
      </c>
      <c r="D47" s="6">
        <v>6.98</v>
      </c>
      <c r="E47" s="6">
        <v>7.6</v>
      </c>
      <c r="F47" s="6">
        <v>8.43</v>
      </c>
      <c r="G47" s="6">
        <v>8.66</v>
      </c>
      <c r="H47" s="6">
        <v>9.11</v>
      </c>
      <c r="I47" s="6">
        <v>9.89</v>
      </c>
      <c r="J47" s="6">
        <v>10.81</v>
      </c>
      <c r="K47" s="6">
        <v>11.12</v>
      </c>
      <c r="L47" s="6">
        <v>11.4</v>
      </c>
      <c r="M47" s="6">
        <v>11.58</v>
      </c>
      <c r="N47" s="6">
        <v>12.71</v>
      </c>
      <c r="O47" s="6">
        <v>16.25</v>
      </c>
      <c r="P47" s="6">
        <v>17.23</v>
      </c>
      <c r="Q47" s="7">
        <v>14.44</v>
      </c>
      <c r="R47" s="6">
        <v>17.23</v>
      </c>
      <c r="S47" s="6">
        <v>16.32</v>
      </c>
      <c r="T47" s="6">
        <v>15.29</v>
      </c>
      <c r="U47" s="6">
        <v>14.44</v>
      </c>
    </row>
    <row r="48" spans="1:21" ht="16" x14ac:dyDescent="0.2">
      <c r="A48" s="3" t="s">
        <v>58</v>
      </c>
      <c r="B48" s="4">
        <v>115476000</v>
      </c>
      <c r="C48" s="4">
        <v>88440000</v>
      </c>
      <c r="D48" s="4">
        <v>101245000</v>
      </c>
      <c r="E48" s="4">
        <v>125067000</v>
      </c>
      <c r="F48" s="4">
        <v>151815000</v>
      </c>
      <c r="G48" s="4">
        <v>165486000</v>
      </c>
      <c r="H48" s="4">
        <v>188870000</v>
      </c>
      <c r="I48" s="4">
        <v>216222000</v>
      </c>
      <c r="J48" s="4">
        <v>255859000</v>
      </c>
      <c r="K48" s="4">
        <v>284371000</v>
      </c>
      <c r="L48" s="4">
        <v>313889000</v>
      </c>
      <c r="M48" s="4">
        <v>341246000</v>
      </c>
      <c r="N48" s="4">
        <v>470971000</v>
      </c>
      <c r="O48" s="4">
        <v>830284000</v>
      </c>
      <c r="P48" s="4">
        <v>1025783000</v>
      </c>
      <c r="Q48" s="5">
        <v>774518000</v>
      </c>
      <c r="R48" s="4">
        <v>107295000</v>
      </c>
      <c r="S48" s="4">
        <v>145771000</v>
      </c>
      <c r="T48" s="4">
        <v>327009000</v>
      </c>
      <c r="U48" s="4">
        <v>194443000</v>
      </c>
    </row>
    <row r="49" spans="1:21" ht="16" x14ac:dyDescent="0.2">
      <c r="A49" s="3" t="s">
        <v>59</v>
      </c>
      <c r="B49" s="4">
        <v>115476000</v>
      </c>
      <c r="C49" s="4">
        <v>88440000</v>
      </c>
      <c r="D49" s="4">
        <v>101245000</v>
      </c>
      <c r="E49" s="4">
        <v>125067000</v>
      </c>
      <c r="F49" s="4">
        <v>151815000</v>
      </c>
      <c r="G49" s="4">
        <v>165486000</v>
      </c>
      <c r="H49" s="4">
        <v>188870000</v>
      </c>
      <c r="I49" s="4">
        <v>216222000</v>
      </c>
      <c r="J49" s="4">
        <v>255859000</v>
      </c>
      <c r="K49" s="4">
        <v>284371000</v>
      </c>
      <c r="L49" s="4">
        <v>313889000</v>
      </c>
      <c r="M49" s="4">
        <v>341246000</v>
      </c>
      <c r="N49" s="4">
        <v>470971000</v>
      </c>
      <c r="O49" s="4">
        <v>830284000</v>
      </c>
      <c r="P49" s="4">
        <v>1025783000</v>
      </c>
      <c r="Q49" s="5">
        <v>774518000</v>
      </c>
      <c r="R49" s="4">
        <v>107295000</v>
      </c>
      <c r="S49" s="4">
        <v>145771000</v>
      </c>
      <c r="T49" s="4">
        <v>327009000</v>
      </c>
      <c r="U49" s="4">
        <v>194443000</v>
      </c>
    </row>
    <row r="50" spans="1:21" ht="16" x14ac:dyDescent="0.2">
      <c r="A50" s="3" t="s">
        <v>63</v>
      </c>
      <c r="B50" s="4">
        <v>524613</v>
      </c>
      <c r="C50" s="4">
        <v>481186</v>
      </c>
      <c r="D50" s="4">
        <v>504296</v>
      </c>
      <c r="E50" s="4">
        <v>543430</v>
      </c>
      <c r="F50" s="4">
        <v>574698</v>
      </c>
      <c r="G50" s="4">
        <v>577694</v>
      </c>
      <c r="H50" s="4">
        <v>607179</v>
      </c>
      <c r="I50" s="4">
        <v>621879</v>
      </c>
      <c r="J50" s="4">
        <v>659180</v>
      </c>
      <c r="K50" s="4">
        <v>697047</v>
      </c>
      <c r="L50" s="4">
        <v>749524</v>
      </c>
      <c r="M50" s="4">
        <v>711004</v>
      </c>
      <c r="N50" s="4">
        <v>874805</v>
      </c>
      <c r="O50" s="4">
        <v>962833</v>
      </c>
      <c r="P50" s="4">
        <v>1029955</v>
      </c>
      <c r="Q50" s="5">
        <v>939077</v>
      </c>
      <c r="R50" s="4">
        <v>182653</v>
      </c>
      <c r="S50" s="4">
        <v>201129</v>
      </c>
      <c r="T50" s="4">
        <v>309561</v>
      </c>
      <c r="U50" s="4">
        <v>245735</v>
      </c>
    </row>
    <row r="51" spans="1:21" ht="16" x14ac:dyDescent="0.2">
      <c r="A51" s="3" t="s">
        <v>64</v>
      </c>
      <c r="B51" s="6">
        <v>0.51</v>
      </c>
      <c r="C51" s="6">
        <v>0.52</v>
      </c>
      <c r="D51" s="6">
        <v>0.52</v>
      </c>
      <c r="E51" s="6">
        <v>0.55000000000000004</v>
      </c>
      <c r="F51" s="6">
        <v>0.62</v>
      </c>
      <c r="G51" s="6">
        <v>0.73</v>
      </c>
      <c r="H51" s="6">
        <v>0.85</v>
      </c>
      <c r="I51" s="4">
        <v>1</v>
      </c>
      <c r="J51" s="6">
        <v>1.19</v>
      </c>
      <c r="K51" s="6">
        <v>1.42</v>
      </c>
      <c r="L51" s="6">
        <v>1.72</v>
      </c>
      <c r="M51" s="6">
        <v>2.1</v>
      </c>
      <c r="N51" s="6">
        <v>2.29</v>
      </c>
      <c r="O51" s="4">
        <v>3</v>
      </c>
      <c r="P51" s="6">
        <v>3.82</v>
      </c>
      <c r="Q51" s="7">
        <v>4.2300000000000004</v>
      </c>
      <c r="R51" s="6">
        <v>1.01</v>
      </c>
      <c r="S51" s="6">
        <v>1.01</v>
      </c>
      <c r="T51" s="6">
        <v>1.1100000000000001</v>
      </c>
      <c r="U51" s="6">
        <v>1.1100000000000001</v>
      </c>
    </row>
    <row r="52" spans="1:21" ht="16" x14ac:dyDescent="0.2">
      <c r="A52" s="3" t="s">
        <v>65</v>
      </c>
      <c r="B52" s="4">
        <v>13454000</v>
      </c>
      <c r="C52" s="4">
        <v>11545000</v>
      </c>
      <c r="D52" s="4">
        <v>11328000</v>
      </c>
      <c r="E52" s="4">
        <v>11305000</v>
      </c>
      <c r="F52" s="4">
        <v>12876000</v>
      </c>
      <c r="G52" s="4">
        <v>14596000</v>
      </c>
      <c r="H52" s="4">
        <v>15882000</v>
      </c>
      <c r="I52" s="4">
        <v>17388000</v>
      </c>
      <c r="J52" s="4">
        <v>21977000</v>
      </c>
      <c r="K52" s="4">
        <v>25725000</v>
      </c>
      <c r="L52" s="4">
        <v>27915000</v>
      </c>
      <c r="M52" s="4">
        <v>29274000</v>
      </c>
      <c r="N52" s="4">
        <v>29398000</v>
      </c>
      <c r="O52" s="4">
        <v>30026000</v>
      </c>
      <c r="P52" s="4">
        <v>39025000</v>
      </c>
      <c r="Q52" s="5">
        <v>39110000</v>
      </c>
      <c r="R52" s="4">
        <v>9330000</v>
      </c>
      <c r="S52" s="4">
        <v>9767000</v>
      </c>
      <c r="T52" s="4">
        <v>9762000</v>
      </c>
      <c r="U52" s="4">
        <v>10251000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556844000</v>
      </c>
      <c r="C55" s="4">
        <v>491317000</v>
      </c>
      <c r="D55" s="4">
        <v>476592000</v>
      </c>
      <c r="E55" s="4">
        <v>538001000</v>
      </c>
      <c r="F55" s="4">
        <v>543096000</v>
      </c>
      <c r="G55" s="4">
        <v>577749000</v>
      </c>
      <c r="H55" s="4">
        <v>637213000</v>
      </c>
      <c r="I55" s="4">
        <v>661744000</v>
      </c>
      <c r="J55" s="4">
        <v>695557000</v>
      </c>
      <c r="K55" s="4">
        <v>782248000</v>
      </c>
      <c r="L55" s="4">
        <v>915244000</v>
      </c>
      <c r="M55" s="4">
        <v>973568000</v>
      </c>
      <c r="N55" s="4">
        <v>1121927000</v>
      </c>
      <c r="O55" s="4">
        <v>1769085000</v>
      </c>
      <c r="P55" s="4">
        <v>2018991000</v>
      </c>
      <c r="Q55" s="5">
        <v>1832524000</v>
      </c>
      <c r="R55" s="4">
        <v>2018991000</v>
      </c>
      <c r="S55" s="4">
        <v>2305199000</v>
      </c>
      <c r="T55" s="4">
        <v>2097055000</v>
      </c>
      <c r="U55" s="4">
        <v>1832524000</v>
      </c>
    </row>
    <row r="56" spans="1:21" ht="16" x14ac:dyDescent="0.2">
      <c r="A56" s="3" t="s">
        <v>67</v>
      </c>
      <c r="B56" s="4">
        <v>15762000</v>
      </c>
      <c r="C56" s="4">
        <v>15843000</v>
      </c>
      <c r="D56" s="4">
        <v>9721000</v>
      </c>
      <c r="E56" s="4">
        <v>17487000</v>
      </c>
      <c r="F56" s="4">
        <v>12463000</v>
      </c>
      <c r="G56" s="4">
        <v>8006000</v>
      </c>
      <c r="H56" s="4">
        <v>14830000</v>
      </c>
      <c r="I56" s="4">
        <v>13237000</v>
      </c>
      <c r="J56" s="4">
        <v>21956000</v>
      </c>
      <c r="K56" s="4">
        <v>29940000</v>
      </c>
      <c r="L56" s="4">
        <v>16358000</v>
      </c>
      <c r="M56" s="4">
        <v>28583000</v>
      </c>
      <c r="N56" s="4">
        <v>34128000</v>
      </c>
      <c r="O56" s="4">
        <v>24321000</v>
      </c>
      <c r="P56" s="4">
        <v>45591000</v>
      </c>
      <c r="Q56" s="5">
        <v>85220000</v>
      </c>
      <c r="R56" s="4">
        <v>45591000</v>
      </c>
      <c r="S56" s="4">
        <v>26470000</v>
      </c>
      <c r="T56" s="4">
        <v>53225000</v>
      </c>
      <c r="U56" s="4">
        <v>85220000</v>
      </c>
    </row>
    <row r="57" spans="1:21" ht="16" x14ac:dyDescent="0.2">
      <c r="A57" s="3" t="s">
        <v>68</v>
      </c>
      <c r="B57" s="4">
        <v>15762000</v>
      </c>
      <c r="C57" s="4">
        <v>15843000</v>
      </c>
      <c r="D57" s="4">
        <v>9721000</v>
      </c>
      <c r="E57" s="4">
        <v>17487000</v>
      </c>
      <c r="F57" s="4">
        <v>12463000</v>
      </c>
      <c r="G57" s="4">
        <v>8006000</v>
      </c>
      <c r="H57" s="4">
        <v>14830000</v>
      </c>
      <c r="I57" s="4">
        <v>13237000</v>
      </c>
      <c r="J57" s="4">
        <v>21956000</v>
      </c>
      <c r="K57" s="4">
        <v>29940000</v>
      </c>
      <c r="L57" s="4">
        <v>16358000</v>
      </c>
      <c r="M57" s="4">
        <v>28583000</v>
      </c>
      <c r="N57" s="4">
        <v>34128000</v>
      </c>
      <c r="O57" s="4">
        <v>24321000</v>
      </c>
      <c r="P57" s="4">
        <v>45591000</v>
      </c>
      <c r="Q57" s="5">
        <v>85220000</v>
      </c>
      <c r="R57" s="4">
        <v>45591000</v>
      </c>
      <c r="S57" s="4">
        <v>26470000</v>
      </c>
      <c r="T57" s="4">
        <v>53225000</v>
      </c>
      <c r="U57" s="4">
        <v>85220000</v>
      </c>
    </row>
    <row r="58" spans="1:21" ht="16" x14ac:dyDescent="0.2">
      <c r="A58" s="3" t="s">
        <v>69</v>
      </c>
      <c r="B58" s="4" t="s">
        <v>26</v>
      </c>
      <c r="C58" s="4" t="s">
        <v>26</v>
      </c>
      <c r="D58" s="4" t="s">
        <v>26</v>
      </c>
      <c r="E58" s="4" t="s">
        <v>26</v>
      </c>
      <c r="F58" s="4" t="s">
        <v>26</v>
      </c>
      <c r="G58" s="4" t="s">
        <v>26</v>
      </c>
      <c r="H58" s="4" t="s">
        <v>26</v>
      </c>
      <c r="I58" s="4" t="s">
        <v>26</v>
      </c>
      <c r="J58" s="4" t="s">
        <v>26</v>
      </c>
      <c r="K58" s="4" t="s">
        <v>26</v>
      </c>
      <c r="L58" s="4" t="s">
        <v>26</v>
      </c>
      <c r="M58" s="4" t="s">
        <v>26</v>
      </c>
      <c r="N58" s="4" t="s">
        <v>26</v>
      </c>
      <c r="O58" s="4" t="s">
        <v>26</v>
      </c>
      <c r="P58" s="4" t="s">
        <v>26</v>
      </c>
      <c r="Q58" s="5" t="s">
        <v>26</v>
      </c>
      <c r="R58" s="4" t="s">
        <v>26</v>
      </c>
      <c r="S58" s="4" t="s">
        <v>26</v>
      </c>
      <c r="T58" s="4" t="s">
        <v>26</v>
      </c>
      <c r="U58" s="4" t="s">
        <v>26</v>
      </c>
    </row>
    <row r="59" spans="1:21" ht="16" x14ac:dyDescent="0.2">
      <c r="A59" s="3" t="s">
        <v>70</v>
      </c>
      <c r="B59" s="4">
        <v>115584000</v>
      </c>
      <c r="C59" s="4">
        <v>96364000</v>
      </c>
      <c r="D59" s="4">
        <v>101543000</v>
      </c>
      <c r="E59" s="4">
        <v>110555000</v>
      </c>
      <c r="F59" s="4">
        <v>113859000</v>
      </c>
      <c r="G59" s="4">
        <v>125287000</v>
      </c>
      <c r="H59" s="4">
        <v>140645000</v>
      </c>
      <c r="I59" s="4">
        <v>156756000</v>
      </c>
      <c r="J59" s="4">
        <v>166151000</v>
      </c>
      <c r="K59" s="4">
        <v>196265000</v>
      </c>
      <c r="L59" s="4">
        <v>207801000</v>
      </c>
      <c r="M59" s="4">
        <v>226539000</v>
      </c>
      <c r="N59" s="4">
        <v>289200000</v>
      </c>
      <c r="O59" s="4">
        <v>376571000</v>
      </c>
      <c r="P59" s="4">
        <v>351448000</v>
      </c>
      <c r="Q59" s="5">
        <v>461582000</v>
      </c>
      <c r="R59" s="4">
        <v>351448000</v>
      </c>
      <c r="S59" s="4">
        <v>564171000</v>
      </c>
      <c r="T59" s="4">
        <v>630950000</v>
      </c>
      <c r="U59" s="4">
        <v>461582000</v>
      </c>
    </row>
    <row r="60" spans="1:21" ht="16" x14ac:dyDescent="0.2">
      <c r="A60" s="3" t="s">
        <v>71</v>
      </c>
      <c r="B60" s="4">
        <v>16311000</v>
      </c>
      <c r="C60" s="4" t="s">
        <v>26</v>
      </c>
      <c r="D60" s="4" t="s">
        <v>26</v>
      </c>
      <c r="E60" s="4">
        <v>108794000</v>
      </c>
      <c r="F60" s="4">
        <v>113859000</v>
      </c>
      <c r="G60" s="4">
        <v>45138000</v>
      </c>
      <c r="H60" s="4">
        <v>51014000</v>
      </c>
      <c r="I60" s="4">
        <v>54173000</v>
      </c>
      <c r="J60" s="4">
        <v>61437000</v>
      </c>
      <c r="K60" s="4">
        <v>76597000</v>
      </c>
      <c r="L60" s="4">
        <v>69493000</v>
      </c>
      <c r="M60" s="4">
        <v>76648000</v>
      </c>
      <c r="N60" s="4">
        <v>122252000</v>
      </c>
      <c r="O60" s="4">
        <v>155259000</v>
      </c>
      <c r="P60" s="4">
        <v>128247000</v>
      </c>
      <c r="Q60" s="5">
        <v>140997000</v>
      </c>
      <c r="R60" s="4">
        <v>128247000</v>
      </c>
      <c r="S60" s="4">
        <v>163048000</v>
      </c>
      <c r="T60" s="4">
        <v>203459000</v>
      </c>
      <c r="U60" s="4">
        <v>140997000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v>99273000</v>
      </c>
      <c r="C63" s="4">
        <v>96364000</v>
      </c>
      <c r="D63" s="4">
        <v>101543000</v>
      </c>
      <c r="E63" s="4">
        <v>1761000</v>
      </c>
      <c r="F63" s="4" t="s">
        <v>26</v>
      </c>
      <c r="G63" s="4">
        <v>80149000</v>
      </c>
      <c r="H63" s="4">
        <v>89631000</v>
      </c>
      <c r="I63" s="4">
        <v>102583000</v>
      </c>
      <c r="J63" s="4">
        <v>104714000</v>
      </c>
      <c r="K63" s="4">
        <v>119668000</v>
      </c>
      <c r="L63" s="4">
        <v>138308000</v>
      </c>
      <c r="M63" s="4">
        <v>149891000</v>
      </c>
      <c r="N63" s="4">
        <v>166948000</v>
      </c>
      <c r="O63" s="4">
        <v>221312000</v>
      </c>
      <c r="P63" s="4">
        <v>223201000</v>
      </c>
      <c r="Q63" s="5">
        <v>320585000</v>
      </c>
      <c r="R63" s="4">
        <v>223201000</v>
      </c>
      <c r="S63" s="4">
        <v>401123000</v>
      </c>
      <c r="T63" s="4">
        <v>427491000</v>
      </c>
      <c r="U63" s="4">
        <v>320585000</v>
      </c>
    </row>
    <row r="64" spans="1:21" ht="16" x14ac:dyDescent="0.2">
      <c r="A64" s="3" t="s">
        <v>75</v>
      </c>
      <c r="B64" s="4">
        <v>405914000</v>
      </c>
      <c r="C64" s="4">
        <v>355528000</v>
      </c>
      <c r="D64" s="4">
        <v>347439000</v>
      </c>
      <c r="E64" s="4">
        <v>386924000</v>
      </c>
      <c r="F64" s="4">
        <v>400308000</v>
      </c>
      <c r="G64" s="4">
        <v>429197000</v>
      </c>
      <c r="H64" s="4">
        <v>466962000</v>
      </c>
      <c r="I64" s="4">
        <v>474275000</v>
      </c>
      <c r="J64" s="4">
        <v>486116000</v>
      </c>
      <c r="K64" s="4">
        <v>536474000</v>
      </c>
      <c r="L64" s="4">
        <v>672579000</v>
      </c>
      <c r="M64" s="4">
        <v>702274000</v>
      </c>
      <c r="N64" s="4">
        <v>780989000</v>
      </c>
      <c r="O64" s="4">
        <v>1339100000</v>
      </c>
      <c r="P64" s="4">
        <v>1591060000</v>
      </c>
      <c r="Q64" s="5">
        <v>1259308000</v>
      </c>
      <c r="R64" s="4">
        <v>1591060000</v>
      </c>
      <c r="S64" s="4">
        <v>1686683000</v>
      </c>
      <c r="T64" s="4">
        <v>1392886000</v>
      </c>
      <c r="U64" s="4">
        <v>1259308000</v>
      </c>
    </row>
    <row r="65" spans="1:21" ht="16" x14ac:dyDescent="0.2">
      <c r="A65" s="3" t="s">
        <v>76</v>
      </c>
      <c r="B65" s="4" t="s">
        <v>26</v>
      </c>
      <c r="C65" s="4" t="s">
        <v>26</v>
      </c>
      <c r="D65" s="4" t="s">
        <v>26</v>
      </c>
      <c r="E65" s="4" t="s">
        <v>26</v>
      </c>
      <c r="F65" s="4" t="s">
        <v>26</v>
      </c>
      <c r="G65" s="4" t="s">
        <v>26</v>
      </c>
      <c r="H65" s="4" t="s">
        <v>26</v>
      </c>
      <c r="I65" s="4" t="s">
        <v>26</v>
      </c>
      <c r="J65" s="4" t="s">
        <v>26</v>
      </c>
      <c r="K65" s="4" t="s">
        <v>26</v>
      </c>
      <c r="L65" s="4" t="s">
        <v>26</v>
      </c>
      <c r="M65" s="4" t="s">
        <v>26</v>
      </c>
      <c r="N65" s="4" t="s">
        <v>26</v>
      </c>
      <c r="O65" s="4" t="s">
        <v>26</v>
      </c>
      <c r="P65" s="4" t="s">
        <v>26</v>
      </c>
      <c r="Q65" s="5" t="s">
        <v>26</v>
      </c>
      <c r="R65" s="4" t="s">
        <v>26</v>
      </c>
      <c r="S65" s="4" t="s">
        <v>26</v>
      </c>
      <c r="T65" s="4" t="s">
        <v>26</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t="s">
        <v>26</v>
      </c>
      <c r="F67" s="4" t="s">
        <v>26</v>
      </c>
      <c r="G67" s="4" t="s">
        <v>26</v>
      </c>
      <c r="H67" s="4" t="s">
        <v>26</v>
      </c>
      <c r="I67" s="4" t="s">
        <v>26</v>
      </c>
      <c r="J67" s="4" t="s">
        <v>26</v>
      </c>
      <c r="K67" s="4" t="s">
        <v>26</v>
      </c>
      <c r="L67" s="4" t="s">
        <v>26</v>
      </c>
      <c r="M67" s="4" t="s">
        <v>26</v>
      </c>
      <c r="N67" s="4" t="s">
        <v>26</v>
      </c>
      <c r="O67" s="4">
        <v>1339100000</v>
      </c>
      <c r="P67" s="4">
        <v>1591060000</v>
      </c>
      <c r="Q67" s="5" t="s">
        <v>26</v>
      </c>
      <c r="R67" s="4">
        <v>1591060000</v>
      </c>
      <c r="S67" s="4">
        <v>1686683000</v>
      </c>
      <c r="T67" s="4">
        <v>1392886000</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v>405914000</v>
      </c>
      <c r="C69" s="4">
        <v>355528000</v>
      </c>
      <c r="D69" s="4">
        <v>347439000</v>
      </c>
      <c r="E69" s="4">
        <v>386924000</v>
      </c>
      <c r="F69" s="4">
        <v>400308000</v>
      </c>
      <c r="G69" s="4">
        <v>429197000</v>
      </c>
      <c r="H69" s="4">
        <v>466962000</v>
      </c>
      <c r="I69" s="4">
        <v>474275000</v>
      </c>
      <c r="J69" s="4">
        <v>486116000</v>
      </c>
      <c r="K69" s="4">
        <v>536474000</v>
      </c>
      <c r="L69" s="4">
        <v>672579000</v>
      </c>
      <c r="M69" s="4">
        <v>702274000</v>
      </c>
      <c r="N69" s="4">
        <v>780989000</v>
      </c>
      <c r="O69" s="4" t="s">
        <v>26</v>
      </c>
      <c r="P69" s="4" t="s">
        <v>26</v>
      </c>
      <c r="Q69" s="5">
        <v>1259308000</v>
      </c>
      <c r="R69" s="4" t="s">
        <v>26</v>
      </c>
      <c r="S69" s="4" t="s">
        <v>26</v>
      </c>
      <c r="T69" s="4" t="s">
        <v>26</v>
      </c>
      <c r="U69" s="4">
        <v>1259308000</v>
      </c>
    </row>
    <row r="70" spans="1:21" ht="16" x14ac:dyDescent="0.2">
      <c r="A70" s="3" t="s">
        <v>81</v>
      </c>
      <c r="B70" s="4">
        <v>19584000</v>
      </c>
      <c r="C70" s="4">
        <v>23582000</v>
      </c>
      <c r="D70" s="4">
        <v>17889000</v>
      </c>
      <c r="E70" s="4">
        <v>23035000</v>
      </c>
      <c r="F70" s="4">
        <v>16466000</v>
      </c>
      <c r="G70" s="4">
        <v>15259000</v>
      </c>
      <c r="H70" s="4">
        <v>14776000</v>
      </c>
      <c r="I70" s="4">
        <v>17476000</v>
      </c>
      <c r="J70" s="4">
        <v>21334000</v>
      </c>
      <c r="K70" s="4">
        <v>19569000</v>
      </c>
      <c r="L70" s="4">
        <v>18506000</v>
      </c>
      <c r="M70" s="4">
        <v>16172000</v>
      </c>
      <c r="N70" s="4">
        <v>17610000</v>
      </c>
      <c r="O70" s="4">
        <v>29093000</v>
      </c>
      <c r="P70" s="4">
        <v>30892000</v>
      </c>
      <c r="Q70" s="5">
        <v>26414000</v>
      </c>
      <c r="R70" s="4">
        <v>30892000</v>
      </c>
      <c r="S70" s="4">
        <v>27875000</v>
      </c>
      <c r="T70" s="4">
        <v>19994000</v>
      </c>
      <c r="U70" s="4">
        <v>26414000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274062000</v>
      </c>
      <c r="C76" s="4">
        <v>254553000</v>
      </c>
      <c r="D76" s="4">
        <v>251953000</v>
      </c>
      <c r="E76" s="4">
        <v>260621000</v>
      </c>
      <c r="F76" s="4">
        <v>237480000</v>
      </c>
      <c r="G76" s="4">
        <v>246012000</v>
      </c>
      <c r="H76" s="4">
        <v>255724000</v>
      </c>
      <c r="I76" s="4">
        <v>274287000</v>
      </c>
      <c r="J76" s="4">
        <v>298538000</v>
      </c>
      <c r="K76" s="4">
        <v>318814000</v>
      </c>
      <c r="L76" s="4">
        <v>325627000</v>
      </c>
      <c r="M76" s="4">
        <v>509698000</v>
      </c>
      <c r="N76" s="4">
        <v>617743000</v>
      </c>
      <c r="O76" s="4">
        <v>1461046000</v>
      </c>
      <c r="P76" s="4">
        <v>1546446000</v>
      </c>
      <c r="Q76" s="5">
        <v>1598210000</v>
      </c>
      <c r="R76" s="4">
        <v>1546446000</v>
      </c>
      <c r="S76" s="4">
        <v>1557630000</v>
      </c>
      <c r="T76" s="4">
        <v>1583524000</v>
      </c>
      <c r="U76" s="4">
        <v>1598210000</v>
      </c>
    </row>
    <row r="77" spans="1:21" ht="16" x14ac:dyDescent="0.2">
      <c r="A77" s="3" t="s">
        <v>88</v>
      </c>
      <c r="B77" s="4">
        <v>33048000</v>
      </c>
      <c r="C77" s="4">
        <v>31432000</v>
      </c>
      <c r="D77" s="4">
        <v>30685000</v>
      </c>
      <c r="E77" s="4">
        <v>41394000</v>
      </c>
      <c r="F77" s="4">
        <v>46566000</v>
      </c>
      <c r="G77" s="4">
        <v>52328000</v>
      </c>
      <c r="H77" s="4">
        <v>56475000</v>
      </c>
      <c r="I77" s="4">
        <v>69854000</v>
      </c>
      <c r="J77" s="4">
        <v>83290000</v>
      </c>
      <c r="K77" s="4">
        <v>100939000</v>
      </c>
      <c r="L77" s="4">
        <v>106964000</v>
      </c>
      <c r="M77" s="4">
        <v>127549000</v>
      </c>
      <c r="N77" s="4">
        <v>144090000</v>
      </c>
      <c r="O77" s="4">
        <v>229427000</v>
      </c>
      <c r="P77" s="4">
        <v>251804000</v>
      </c>
      <c r="Q77" s="5">
        <v>507405000</v>
      </c>
      <c r="R77" s="4">
        <v>251804000</v>
      </c>
      <c r="S77" s="4">
        <v>475425000</v>
      </c>
      <c r="T77" s="4">
        <v>489009000</v>
      </c>
      <c r="U77" s="4">
        <v>507405000</v>
      </c>
    </row>
    <row r="78" spans="1:21" ht="16" x14ac:dyDescent="0.2">
      <c r="A78" s="3" t="s">
        <v>89</v>
      </c>
      <c r="B78" s="4">
        <v>75198000</v>
      </c>
      <c r="C78" s="4">
        <v>80860000</v>
      </c>
      <c r="D78" s="4">
        <v>86211000</v>
      </c>
      <c r="E78" s="4">
        <v>101277000</v>
      </c>
      <c r="F78" s="4">
        <v>114822000</v>
      </c>
      <c r="G78" s="4">
        <v>130002000</v>
      </c>
      <c r="H78" s="4">
        <v>145607000</v>
      </c>
      <c r="I78" s="4">
        <v>167866000</v>
      </c>
      <c r="J78" s="4">
        <v>192671000</v>
      </c>
      <c r="K78" s="4">
        <v>223800000</v>
      </c>
      <c r="L78" s="4">
        <v>248606000</v>
      </c>
      <c r="M78" s="4">
        <v>288935000</v>
      </c>
      <c r="N78" s="4">
        <v>314116000</v>
      </c>
      <c r="O78" s="4">
        <v>420670000</v>
      </c>
      <c r="P78" s="4">
        <v>463317000</v>
      </c>
      <c r="Q78" s="5">
        <v>507405000</v>
      </c>
      <c r="R78" s="4">
        <v>463317000</v>
      </c>
      <c r="S78" s="4">
        <v>475425000</v>
      </c>
      <c r="T78" s="4">
        <v>489009000</v>
      </c>
      <c r="U78" s="4">
        <v>507405000</v>
      </c>
    </row>
    <row r="79" spans="1:21" ht="16" x14ac:dyDescent="0.2">
      <c r="A79" s="3" t="s">
        <v>90</v>
      </c>
      <c r="B79" s="4">
        <v>42150000</v>
      </c>
      <c r="C79" s="4">
        <v>49428000</v>
      </c>
      <c r="D79" s="4">
        <v>55526000</v>
      </c>
      <c r="E79" s="4">
        <v>59883000</v>
      </c>
      <c r="F79" s="4">
        <v>68256000</v>
      </c>
      <c r="G79" s="4">
        <v>77674000</v>
      </c>
      <c r="H79" s="4">
        <v>89132000</v>
      </c>
      <c r="I79" s="4">
        <v>98012000</v>
      </c>
      <c r="J79" s="4">
        <v>109381000</v>
      </c>
      <c r="K79" s="4">
        <v>122861000</v>
      </c>
      <c r="L79" s="4">
        <v>141642000</v>
      </c>
      <c r="M79" s="4">
        <v>161386000</v>
      </c>
      <c r="N79" s="4">
        <v>170026000</v>
      </c>
      <c r="O79" s="4">
        <v>191243000</v>
      </c>
      <c r="P79" s="4">
        <v>211513000</v>
      </c>
      <c r="Q79" s="5" t="s">
        <v>26</v>
      </c>
      <c r="R79" s="4">
        <v>211513000</v>
      </c>
      <c r="S79" s="4" t="s">
        <v>26</v>
      </c>
      <c r="T79" s="4" t="s">
        <v>26</v>
      </c>
      <c r="U79" s="4" t="s">
        <v>26</v>
      </c>
    </row>
    <row r="80" spans="1:21" ht="16" x14ac:dyDescent="0.2">
      <c r="A80" s="3" t="s">
        <v>91</v>
      </c>
      <c r="B80" s="4">
        <v>31157000</v>
      </c>
      <c r="C80" s="4">
        <v>1006000</v>
      </c>
      <c r="D80" s="4">
        <v>966000</v>
      </c>
      <c r="E80" s="4">
        <v>980000</v>
      </c>
      <c r="F80" s="4">
        <v>1160000</v>
      </c>
      <c r="G80" s="4">
        <v>1243000</v>
      </c>
      <c r="H80" s="4">
        <v>1244000</v>
      </c>
      <c r="I80" s="4">
        <v>1231000</v>
      </c>
      <c r="J80" s="4">
        <v>1172000</v>
      </c>
      <c r="K80" s="4">
        <v>1127000</v>
      </c>
      <c r="L80" s="4">
        <v>1213000</v>
      </c>
      <c r="M80" s="4">
        <v>1227000</v>
      </c>
      <c r="N80" s="4">
        <v>1292000</v>
      </c>
      <c r="O80" s="4">
        <v>1231000</v>
      </c>
      <c r="P80" s="4">
        <v>1248000</v>
      </c>
      <c r="Q80" s="5">
        <v>1383000</v>
      </c>
      <c r="R80" s="4">
        <v>1248000</v>
      </c>
      <c r="S80" s="4">
        <v>1206000</v>
      </c>
      <c r="T80" s="4">
        <v>1278000</v>
      </c>
      <c r="U80" s="4">
        <v>1383000</v>
      </c>
    </row>
    <row r="81" spans="1:21" ht="16" x14ac:dyDescent="0.2">
      <c r="A81" s="3" t="s">
        <v>92</v>
      </c>
      <c r="B81" s="4">
        <v>31157000</v>
      </c>
      <c r="C81" s="4">
        <v>1006000</v>
      </c>
      <c r="D81" s="4">
        <v>966000</v>
      </c>
      <c r="E81" s="4">
        <v>980000</v>
      </c>
      <c r="F81" s="4">
        <v>1160000</v>
      </c>
      <c r="G81" s="4">
        <v>1243000</v>
      </c>
      <c r="H81" s="4">
        <v>1244000</v>
      </c>
      <c r="I81" s="4">
        <v>1231000</v>
      </c>
      <c r="J81" s="4">
        <v>1172000</v>
      </c>
      <c r="K81" s="4">
        <v>1127000</v>
      </c>
      <c r="L81" s="4">
        <v>1213000</v>
      </c>
      <c r="M81" s="4">
        <v>1227000</v>
      </c>
      <c r="N81" s="4">
        <v>1292000</v>
      </c>
      <c r="O81" s="4">
        <v>1231000</v>
      </c>
      <c r="P81" s="4">
        <v>1248000</v>
      </c>
      <c r="Q81" s="5">
        <v>1383000</v>
      </c>
      <c r="R81" s="4">
        <v>1248000</v>
      </c>
      <c r="S81" s="4">
        <v>1206000</v>
      </c>
      <c r="T81" s="4">
        <v>1278000</v>
      </c>
      <c r="U81" s="4">
        <v>1383000</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209857000</v>
      </c>
      <c r="C83" s="4">
        <v>222115000</v>
      </c>
      <c r="D83" s="4">
        <v>220302000</v>
      </c>
      <c r="E83" s="4">
        <v>218247000</v>
      </c>
      <c r="F83" s="4">
        <v>189754000</v>
      </c>
      <c r="G83" s="4">
        <v>192441000</v>
      </c>
      <c r="H83" s="4">
        <v>198005000</v>
      </c>
      <c r="I83" s="4">
        <v>203202000</v>
      </c>
      <c r="J83" s="4">
        <v>214076000</v>
      </c>
      <c r="K83" s="4">
        <v>216748000</v>
      </c>
      <c r="L83" s="4">
        <v>217450000</v>
      </c>
      <c r="M83" s="4">
        <v>380922000</v>
      </c>
      <c r="N83" s="4">
        <v>472361000</v>
      </c>
      <c r="O83" s="4">
        <v>1230388000</v>
      </c>
      <c r="P83" s="4">
        <v>1293394000</v>
      </c>
      <c r="Q83" s="5">
        <v>1089422000</v>
      </c>
      <c r="R83" s="4">
        <v>1293394000</v>
      </c>
      <c r="S83" s="4">
        <v>1080999000</v>
      </c>
      <c r="T83" s="4">
        <v>1093237000</v>
      </c>
      <c r="U83" s="4">
        <v>1089422000</v>
      </c>
    </row>
    <row r="84" spans="1:21" ht="16" x14ac:dyDescent="0.2">
      <c r="A84" s="3" t="s">
        <v>95</v>
      </c>
      <c r="B84" s="4">
        <v>182906000</v>
      </c>
      <c r="C84" s="4">
        <v>190840000</v>
      </c>
      <c r="D84" s="4">
        <v>191481000</v>
      </c>
      <c r="E84" s="4">
        <v>188841000</v>
      </c>
      <c r="F84" s="4">
        <v>181036000</v>
      </c>
      <c r="G84" s="4">
        <v>182170000</v>
      </c>
      <c r="H84" s="4">
        <v>185919000</v>
      </c>
      <c r="I84" s="4">
        <v>184606000</v>
      </c>
      <c r="J84" s="4">
        <v>198121000</v>
      </c>
      <c r="K84" s="4">
        <v>202658000</v>
      </c>
      <c r="L84" s="4">
        <v>200476000</v>
      </c>
      <c r="M84" s="4">
        <v>199634000</v>
      </c>
      <c r="N84" s="4">
        <v>280348000</v>
      </c>
      <c r="O84" s="4">
        <v>1001178000</v>
      </c>
      <c r="P84" s="4">
        <v>997443000</v>
      </c>
      <c r="Q84" s="5">
        <v>999507000</v>
      </c>
      <c r="R84" s="4">
        <v>997443000</v>
      </c>
      <c r="S84" s="4">
        <v>996995000</v>
      </c>
      <c r="T84" s="4">
        <v>1002362000</v>
      </c>
      <c r="U84" s="4">
        <v>999507000</v>
      </c>
    </row>
    <row r="85" spans="1:21" ht="16" x14ac:dyDescent="0.2">
      <c r="A85" s="3" t="s">
        <v>96</v>
      </c>
      <c r="B85" s="4">
        <v>169567000</v>
      </c>
      <c r="C85" s="4">
        <v>176923000</v>
      </c>
      <c r="D85" s="4">
        <v>178516000</v>
      </c>
      <c r="E85" s="4">
        <v>177103000</v>
      </c>
      <c r="F85" s="4">
        <v>169983000</v>
      </c>
      <c r="G85" s="4">
        <v>171974000</v>
      </c>
      <c r="H85" s="4">
        <v>173924000</v>
      </c>
      <c r="I85" s="4">
        <v>172761000</v>
      </c>
      <c r="J85" s="4">
        <v>184795000</v>
      </c>
      <c r="K85" s="4">
        <v>189435000</v>
      </c>
      <c r="L85" s="4">
        <v>188472000</v>
      </c>
      <c r="M85" s="4">
        <v>188596000</v>
      </c>
      <c r="N85" s="4">
        <v>268167000</v>
      </c>
      <c r="O85" s="4">
        <v>688364000</v>
      </c>
      <c r="P85" s="4">
        <v>691993000</v>
      </c>
      <c r="Q85" s="5">
        <v>699270000</v>
      </c>
      <c r="R85" s="4">
        <v>691993000</v>
      </c>
      <c r="S85" s="4">
        <v>693242000</v>
      </c>
      <c r="T85" s="4">
        <v>699918000</v>
      </c>
      <c r="U85" s="4">
        <v>699270000</v>
      </c>
    </row>
    <row r="86" spans="1:21" ht="16" x14ac:dyDescent="0.2">
      <c r="A86" s="3" t="s">
        <v>97</v>
      </c>
      <c r="B86" s="4">
        <v>13339000</v>
      </c>
      <c r="C86" s="4">
        <v>13917000</v>
      </c>
      <c r="D86" s="4">
        <v>12965000</v>
      </c>
      <c r="E86" s="4">
        <v>11738000</v>
      </c>
      <c r="F86" s="4">
        <v>11053000</v>
      </c>
      <c r="G86" s="4">
        <v>10196000</v>
      </c>
      <c r="H86" s="4">
        <v>11995000</v>
      </c>
      <c r="I86" s="4">
        <v>11845000</v>
      </c>
      <c r="J86" s="4">
        <v>13326000</v>
      </c>
      <c r="K86" s="4">
        <v>13223000</v>
      </c>
      <c r="L86" s="4">
        <v>12004000</v>
      </c>
      <c r="M86" s="4">
        <v>11038000</v>
      </c>
      <c r="N86" s="4">
        <v>12181000</v>
      </c>
      <c r="O86" s="4">
        <v>312814000</v>
      </c>
      <c r="P86" s="4">
        <v>305450000</v>
      </c>
      <c r="Q86" s="5">
        <v>300237000</v>
      </c>
      <c r="R86" s="4">
        <v>305450000</v>
      </c>
      <c r="S86" s="4">
        <v>303753000</v>
      </c>
      <c r="T86" s="4">
        <v>302444000</v>
      </c>
      <c r="U86" s="4">
        <v>300237000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26951000</v>
      </c>
      <c r="C89" s="4">
        <v>31275000</v>
      </c>
      <c r="D89" s="4">
        <v>28821000</v>
      </c>
      <c r="E89" s="4">
        <v>29406000</v>
      </c>
      <c r="F89" s="4">
        <v>8718000</v>
      </c>
      <c r="G89" s="4">
        <v>10271000</v>
      </c>
      <c r="H89" s="4">
        <v>12086000</v>
      </c>
      <c r="I89" s="4">
        <v>18596000</v>
      </c>
      <c r="J89" s="4">
        <v>15955000</v>
      </c>
      <c r="K89" s="4">
        <v>14090000</v>
      </c>
      <c r="L89" s="4">
        <v>16974000</v>
      </c>
      <c r="M89" s="4">
        <v>181288000</v>
      </c>
      <c r="N89" s="4">
        <v>192013000</v>
      </c>
      <c r="O89" s="4">
        <v>229210000</v>
      </c>
      <c r="P89" s="4">
        <v>295951000</v>
      </c>
      <c r="Q89" s="5">
        <v>89915000</v>
      </c>
      <c r="R89" s="4">
        <v>295951000</v>
      </c>
      <c r="S89" s="4">
        <v>84004000</v>
      </c>
      <c r="T89" s="4">
        <v>90875000</v>
      </c>
      <c r="U89" s="4">
        <v>89915000</v>
      </c>
    </row>
    <row r="90" spans="1:21" ht="16" x14ac:dyDescent="0.2">
      <c r="A90" s="3" t="s">
        <v>101</v>
      </c>
      <c r="B90" s="4">
        <v>830906000</v>
      </c>
      <c r="C90" s="4">
        <v>745870000</v>
      </c>
      <c r="D90" s="4">
        <v>728545000</v>
      </c>
      <c r="E90" s="4">
        <v>798622000</v>
      </c>
      <c r="F90" s="4">
        <v>780576000</v>
      </c>
      <c r="G90" s="4">
        <v>823761000</v>
      </c>
      <c r="H90" s="4">
        <v>892937000</v>
      </c>
      <c r="I90" s="4">
        <v>936031000</v>
      </c>
      <c r="J90" s="4">
        <v>994095000</v>
      </c>
      <c r="K90" s="4">
        <v>1101062000</v>
      </c>
      <c r="L90" s="4">
        <v>1240871000</v>
      </c>
      <c r="M90" s="4">
        <v>1483266000</v>
      </c>
      <c r="N90" s="4">
        <v>1739670000</v>
      </c>
      <c r="O90" s="4">
        <v>3230131000</v>
      </c>
      <c r="P90" s="4">
        <v>3565437000</v>
      </c>
      <c r="Q90" s="5">
        <v>3430734000</v>
      </c>
      <c r="R90" s="4">
        <v>3565437000</v>
      </c>
      <c r="S90" s="4">
        <v>3862829000</v>
      </c>
      <c r="T90" s="4">
        <v>3680579000</v>
      </c>
      <c r="U90" s="4">
        <v>3430734000</v>
      </c>
    </row>
    <row r="91" spans="1:21" ht="16" x14ac:dyDescent="0.2">
      <c r="A91" s="3" t="s">
        <v>102</v>
      </c>
      <c r="B91" s="4">
        <v>235389000</v>
      </c>
      <c r="C91" s="4">
        <v>212277000</v>
      </c>
      <c r="D91" s="4">
        <v>211404000</v>
      </c>
      <c r="E91" s="4">
        <v>230835000</v>
      </c>
      <c r="F91" s="4">
        <v>247973000</v>
      </c>
      <c r="G91" s="4">
        <v>263897000</v>
      </c>
      <c r="H91" s="4">
        <v>290379000</v>
      </c>
      <c r="I91" s="4">
        <v>303145000</v>
      </c>
      <c r="J91" s="4">
        <v>295115000</v>
      </c>
      <c r="K91" s="4">
        <v>310731000</v>
      </c>
      <c r="L91" s="4">
        <v>296442000</v>
      </c>
      <c r="M91" s="4">
        <v>322776000</v>
      </c>
      <c r="N91" s="4">
        <v>410447000</v>
      </c>
      <c r="O91" s="4">
        <v>663574000</v>
      </c>
      <c r="P91" s="4">
        <v>575188000</v>
      </c>
      <c r="Q91" s="5">
        <v>586608000</v>
      </c>
      <c r="R91" s="4">
        <v>575188000</v>
      </c>
      <c r="S91" s="4">
        <v>865842000</v>
      </c>
      <c r="T91" s="4">
        <v>655758000</v>
      </c>
      <c r="U91" s="4">
        <v>586608000</v>
      </c>
    </row>
    <row r="92" spans="1:21" ht="16" x14ac:dyDescent="0.2">
      <c r="A92" s="3" t="s">
        <v>103</v>
      </c>
      <c r="B92" s="4">
        <v>173688000</v>
      </c>
      <c r="C92" s="4">
        <v>178391000</v>
      </c>
      <c r="D92" s="4">
        <v>169700000</v>
      </c>
      <c r="E92" s="4">
        <v>177437000</v>
      </c>
      <c r="F92" s="4">
        <v>199787000</v>
      </c>
      <c r="G92" s="4">
        <v>214596000</v>
      </c>
      <c r="H92" s="4">
        <v>236294000</v>
      </c>
      <c r="I92" s="4">
        <v>246554000</v>
      </c>
      <c r="J92" s="4">
        <v>230728000</v>
      </c>
      <c r="K92" s="4">
        <v>245249000</v>
      </c>
      <c r="L92" s="4">
        <v>237835000</v>
      </c>
      <c r="M92" s="4">
        <v>261963000</v>
      </c>
      <c r="N92" s="4">
        <v>266753000</v>
      </c>
      <c r="O92" s="4">
        <v>398697000</v>
      </c>
      <c r="P92" s="4">
        <v>406667000</v>
      </c>
      <c r="Q92" s="5">
        <v>429436000</v>
      </c>
      <c r="R92" s="4">
        <v>406667000</v>
      </c>
      <c r="S92" s="4">
        <v>739749000</v>
      </c>
      <c r="T92" s="4">
        <v>485100000</v>
      </c>
      <c r="U92" s="4">
        <v>429436000</v>
      </c>
    </row>
    <row r="93" spans="1:21" ht="16" x14ac:dyDescent="0.2">
      <c r="A93" s="3" t="s">
        <v>104</v>
      </c>
      <c r="B93" s="4" t="s">
        <v>26</v>
      </c>
      <c r="C93" s="4" t="s">
        <v>26</v>
      </c>
      <c r="D93" s="4" t="s">
        <v>26</v>
      </c>
      <c r="E93" s="4" t="s">
        <v>26</v>
      </c>
      <c r="F93" s="4" t="s">
        <v>26</v>
      </c>
      <c r="G93" s="4">
        <v>7341000</v>
      </c>
      <c r="H93" s="4">
        <v>7425000</v>
      </c>
      <c r="I93" s="4">
        <v>8889000</v>
      </c>
      <c r="J93" s="4">
        <v>8424000</v>
      </c>
      <c r="K93" s="4">
        <v>7970000</v>
      </c>
      <c r="L93" s="4">
        <v>8337000</v>
      </c>
      <c r="M93" s="4">
        <v>9814000</v>
      </c>
      <c r="N93" s="4">
        <v>20676000</v>
      </c>
      <c r="O93" s="4">
        <v>106894000</v>
      </c>
      <c r="P93" s="4">
        <v>16479000</v>
      </c>
      <c r="Q93" s="5" t="s">
        <v>26</v>
      </c>
      <c r="R93" s="4">
        <v>16479000</v>
      </c>
      <c r="S93" s="4" t="s">
        <v>26</v>
      </c>
      <c r="T93" s="4" t="s">
        <v>26</v>
      </c>
      <c r="U93" s="4" t="s">
        <v>26</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61701000</v>
      </c>
      <c r="C95" s="4">
        <v>33886000</v>
      </c>
      <c r="D95" s="4">
        <v>41704000</v>
      </c>
      <c r="E95" s="4">
        <v>53398000</v>
      </c>
      <c r="F95" s="4">
        <v>48186000</v>
      </c>
      <c r="G95" s="4">
        <v>41960000</v>
      </c>
      <c r="H95" s="4">
        <v>46660000</v>
      </c>
      <c r="I95" s="4">
        <v>47702000</v>
      </c>
      <c r="J95" s="4">
        <v>55963000</v>
      </c>
      <c r="K95" s="4">
        <v>57512000</v>
      </c>
      <c r="L95" s="4">
        <v>50270000</v>
      </c>
      <c r="M95" s="4">
        <v>50999000</v>
      </c>
      <c r="N95" s="4">
        <v>123018000</v>
      </c>
      <c r="O95" s="4">
        <v>157983000</v>
      </c>
      <c r="P95" s="4">
        <v>152042000</v>
      </c>
      <c r="Q95" s="5">
        <v>157172000</v>
      </c>
      <c r="R95" s="4">
        <v>152042000</v>
      </c>
      <c r="S95" s="4">
        <v>126093000</v>
      </c>
      <c r="T95" s="4">
        <v>170658000</v>
      </c>
      <c r="U95" s="4">
        <v>157172000</v>
      </c>
    </row>
    <row r="96" spans="1:21" ht="16" x14ac:dyDescent="0.2">
      <c r="A96" s="3" t="s">
        <v>107</v>
      </c>
      <c r="B96" s="4">
        <v>26903000</v>
      </c>
      <c r="C96" s="4">
        <v>48236000</v>
      </c>
      <c r="D96" s="4">
        <v>134000</v>
      </c>
      <c r="E96" s="4">
        <v>22000</v>
      </c>
      <c r="F96" s="4">
        <v>23000</v>
      </c>
      <c r="G96" s="4">
        <v>9000</v>
      </c>
      <c r="H96" s="4">
        <v>1529000</v>
      </c>
      <c r="I96" s="4">
        <v>1700000</v>
      </c>
      <c r="J96" s="4">
        <v>1105000</v>
      </c>
      <c r="K96" s="4">
        <v>10835000</v>
      </c>
      <c r="L96" s="4">
        <v>9168000</v>
      </c>
      <c r="M96" s="4">
        <v>68070000</v>
      </c>
      <c r="N96" s="4">
        <v>72802000</v>
      </c>
      <c r="O96" s="4">
        <v>80842000</v>
      </c>
      <c r="P96" s="4">
        <v>100526000</v>
      </c>
      <c r="Q96" s="5">
        <v>122512000</v>
      </c>
      <c r="R96" s="4">
        <v>100526000</v>
      </c>
      <c r="S96" s="4">
        <v>111578000</v>
      </c>
      <c r="T96" s="4">
        <v>115982000</v>
      </c>
      <c r="U96" s="4">
        <v>122512000</v>
      </c>
    </row>
    <row r="97" spans="1:21" ht="16" x14ac:dyDescent="0.2">
      <c r="A97" s="3" t="s">
        <v>108</v>
      </c>
      <c r="B97" s="4">
        <v>26903000</v>
      </c>
      <c r="C97" s="4">
        <v>48236000</v>
      </c>
      <c r="D97" s="4">
        <v>134000</v>
      </c>
      <c r="E97" s="4">
        <v>22000</v>
      </c>
      <c r="F97" s="4">
        <v>23000</v>
      </c>
      <c r="G97" s="4">
        <v>9000</v>
      </c>
      <c r="H97" s="4">
        <v>1529000</v>
      </c>
      <c r="I97" s="4">
        <v>1700000</v>
      </c>
      <c r="J97" s="4">
        <v>1105000</v>
      </c>
      <c r="K97" s="4">
        <v>10835000</v>
      </c>
      <c r="L97" s="4">
        <v>9168000</v>
      </c>
      <c r="M97" s="4">
        <v>11745000</v>
      </c>
      <c r="N97" s="4">
        <v>11869000</v>
      </c>
      <c r="O97" s="4">
        <v>11772000</v>
      </c>
      <c r="P97" s="4">
        <v>25042000</v>
      </c>
      <c r="Q97" s="5">
        <v>37788000</v>
      </c>
      <c r="R97" s="4">
        <v>25042000</v>
      </c>
      <c r="S97" s="4">
        <v>33080000</v>
      </c>
      <c r="T97" s="4">
        <v>36219000</v>
      </c>
      <c r="U97" s="4">
        <v>37788000</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v>56325000</v>
      </c>
      <c r="N98" s="4">
        <v>60933000</v>
      </c>
      <c r="O98" s="4">
        <v>69070000</v>
      </c>
      <c r="P98" s="4">
        <v>75484000</v>
      </c>
      <c r="Q98" s="5">
        <v>84724000</v>
      </c>
      <c r="R98" s="4">
        <v>75484000</v>
      </c>
      <c r="S98" s="4">
        <v>78498000</v>
      </c>
      <c r="T98" s="4">
        <v>79763000</v>
      </c>
      <c r="U98" s="4">
        <v>84724000</v>
      </c>
    </row>
    <row r="99" spans="1:21" ht="16" x14ac:dyDescent="0.2">
      <c r="A99" s="3" t="s">
        <v>110</v>
      </c>
      <c r="B99" s="4" t="s">
        <v>26</v>
      </c>
      <c r="C99" s="4" t="s">
        <v>26</v>
      </c>
      <c r="D99" s="4" t="s">
        <v>26</v>
      </c>
      <c r="E99" s="4" t="s">
        <v>26</v>
      </c>
      <c r="F99" s="4" t="s">
        <v>26</v>
      </c>
      <c r="G99" s="4" t="s">
        <v>26</v>
      </c>
      <c r="H99" s="4" t="s">
        <v>26</v>
      </c>
      <c r="I99" s="4" t="s">
        <v>26</v>
      </c>
      <c r="J99" s="4" t="s">
        <v>26</v>
      </c>
      <c r="K99" s="4" t="s">
        <v>26</v>
      </c>
      <c r="L99" s="4" t="s">
        <v>26</v>
      </c>
      <c r="M99" s="4" t="s">
        <v>26</v>
      </c>
      <c r="N99" s="4" t="s">
        <v>26</v>
      </c>
      <c r="O99" s="4" t="s">
        <v>26</v>
      </c>
      <c r="P99" s="4" t="s">
        <v>26</v>
      </c>
      <c r="Q99" s="5" t="s">
        <v>26</v>
      </c>
      <c r="R99" s="4" t="s">
        <v>26</v>
      </c>
      <c r="S99" s="4" t="s">
        <v>26</v>
      </c>
      <c r="T99" s="4" t="s">
        <v>26</v>
      </c>
      <c r="U99" s="4" t="s">
        <v>26</v>
      </c>
    </row>
    <row r="100" spans="1:21" ht="16" x14ac:dyDescent="0.2">
      <c r="A100" s="3" t="s">
        <v>111</v>
      </c>
      <c r="B100" s="4" t="s">
        <v>26</v>
      </c>
      <c r="C100" s="4" t="s">
        <v>26</v>
      </c>
      <c r="D100" s="4" t="s">
        <v>26</v>
      </c>
      <c r="E100" s="4" t="s">
        <v>26</v>
      </c>
      <c r="F100" s="4" t="s">
        <v>26</v>
      </c>
      <c r="G100" s="4" t="s">
        <v>26</v>
      </c>
      <c r="H100" s="4" t="s">
        <v>26</v>
      </c>
      <c r="I100" s="4" t="s">
        <v>26</v>
      </c>
      <c r="J100" s="4" t="s">
        <v>26</v>
      </c>
      <c r="K100" s="4" t="s">
        <v>26</v>
      </c>
      <c r="L100" s="4" t="s">
        <v>26</v>
      </c>
      <c r="M100" s="4" t="s">
        <v>26</v>
      </c>
      <c r="N100" s="4" t="s">
        <v>26</v>
      </c>
      <c r="O100" s="4" t="s">
        <v>26</v>
      </c>
      <c r="P100" s="4" t="s">
        <v>26</v>
      </c>
      <c r="Q100" s="5" t="s">
        <v>26</v>
      </c>
      <c r="R100" s="4" t="s">
        <v>26</v>
      </c>
      <c r="S100" s="4" t="s">
        <v>26</v>
      </c>
      <c r="T100" s="4" t="s">
        <v>26</v>
      </c>
      <c r="U100" s="4" t="s">
        <v>26</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t="s">
        <v>26</v>
      </c>
      <c r="C102" s="4" t="s">
        <v>26</v>
      </c>
      <c r="D102" s="4" t="s">
        <v>26</v>
      </c>
      <c r="E102" s="4">
        <v>2976000</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t="s">
        <v>26</v>
      </c>
      <c r="C103" s="4" t="s">
        <v>26</v>
      </c>
      <c r="D103" s="4" t="s">
        <v>26</v>
      </c>
      <c r="E103" s="4">
        <v>-2976000</v>
      </c>
      <c r="F103" s="4" t="s">
        <v>26</v>
      </c>
      <c r="G103" s="4" t="s">
        <v>26</v>
      </c>
      <c r="H103" s="4" t="s">
        <v>26</v>
      </c>
      <c r="I103" s="4" t="s">
        <v>26</v>
      </c>
      <c r="J103" s="4" t="s">
        <v>26</v>
      </c>
      <c r="K103" s="4" t="s">
        <v>26</v>
      </c>
      <c r="L103" s="4" t="s">
        <v>26</v>
      </c>
      <c r="M103" s="4" t="s">
        <v>26</v>
      </c>
      <c r="N103" s="4" t="s">
        <v>26</v>
      </c>
      <c r="O103" s="4" t="s">
        <v>26</v>
      </c>
      <c r="P103" s="4" t="s">
        <v>26</v>
      </c>
      <c r="Q103" s="5" t="s">
        <v>26</v>
      </c>
      <c r="R103" s="4" t="s">
        <v>26</v>
      </c>
      <c r="S103" s="4" t="s">
        <v>26</v>
      </c>
      <c r="T103" s="4" t="s">
        <v>26</v>
      </c>
      <c r="U103" s="4" t="s">
        <v>26</v>
      </c>
    </row>
    <row r="104" spans="1:21" ht="16" x14ac:dyDescent="0.2">
      <c r="A104" s="3" t="s">
        <v>115</v>
      </c>
      <c r="B104" s="4">
        <v>262292000</v>
      </c>
      <c r="C104" s="4">
        <v>260513000</v>
      </c>
      <c r="D104" s="4">
        <v>211538000</v>
      </c>
      <c r="E104" s="4">
        <v>230857000</v>
      </c>
      <c r="F104" s="4">
        <v>247996000</v>
      </c>
      <c r="G104" s="4">
        <v>263906000</v>
      </c>
      <c r="H104" s="4">
        <v>291908000</v>
      </c>
      <c r="I104" s="4">
        <v>304845000</v>
      </c>
      <c r="J104" s="4">
        <v>296220000</v>
      </c>
      <c r="K104" s="4">
        <v>321566000</v>
      </c>
      <c r="L104" s="4">
        <v>305610000</v>
      </c>
      <c r="M104" s="4">
        <v>390846000</v>
      </c>
      <c r="N104" s="4">
        <v>483249000</v>
      </c>
      <c r="O104" s="4">
        <v>744416000</v>
      </c>
      <c r="P104" s="4">
        <v>675714000</v>
      </c>
      <c r="Q104" s="5">
        <v>709120000</v>
      </c>
      <c r="R104" s="4">
        <v>675714000</v>
      </c>
      <c r="S104" s="4">
        <v>977420000</v>
      </c>
      <c r="T104" s="4">
        <v>771740000</v>
      </c>
      <c r="U104" s="4">
        <v>709120000</v>
      </c>
    </row>
    <row r="105" spans="1:21" ht="16" x14ac:dyDescent="0.2">
      <c r="A105" s="3" t="s">
        <v>116</v>
      </c>
      <c r="B105" s="4">
        <v>301000000</v>
      </c>
      <c r="C105" s="4">
        <v>200700000</v>
      </c>
      <c r="D105" s="4">
        <v>198700000</v>
      </c>
      <c r="E105" s="4">
        <v>247300000</v>
      </c>
      <c r="F105" s="4">
        <v>230882000</v>
      </c>
      <c r="G105" s="4">
        <v>246418000</v>
      </c>
      <c r="H105" s="4">
        <v>319309000</v>
      </c>
      <c r="I105" s="4">
        <v>328015000</v>
      </c>
      <c r="J105" s="4">
        <v>436937000</v>
      </c>
      <c r="K105" s="4">
        <v>508815000</v>
      </c>
      <c r="L105" s="4">
        <v>657593000</v>
      </c>
      <c r="M105" s="4">
        <v>621672000</v>
      </c>
      <c r="N105" s="4">
        <v>551037000</v>
      </c>
      <c r="O105" s="4">
        <v>1346937000</v>
      </c>
      <c r="P105" s="4">
        <v>1560299000</v>
      </c>
      <c r="Q105" s="5">
        <v>1210277000</v>
      </c>
      <c r="R105" s="4">
        <v>1560299000</v>
      </c>
      <c r="S105" s="4">
        <v>1533168000</v>
      </c>
      <c r="T105" s="4">
        <v>1352920000</v>
      </c>
      <c r="U105" s="4">
        <v>1210277000</v>
      </c>
    </row>
    <row r="106" spans="1:21" ht="16" x14ac:dyDescent="0.2">
      <c r="A106" s="3" t="s">
        <v>117</v>
      </c>
      <c r="B106" s="4">
        <v>301000000</v>
      </c>
      <c r="C106" s="4">
        <v>200700000</v>
      </c>
      <c r="D106" s="4">
        <v>198700000</v>
      </c>
      <c r="E106" s="4">
        <v>247300000</v>
      </c>
      <c r="F106" s="4">
        <v>230882000</v>
      </c>
      <c r="G106" s="4">
        <v>246418000</v>
      </c>
      <c r="H106" s="4">
        <v>319309000</v>
      </c>
      <c r="I106" s="4">
        <v>328015000</v>
      </c>
      <c r="J106" s="4">
        <v>436937000</v>
      </c>
      <c r="K106" s="4">
        <v>508815000</v>
      </c>
      <c r="L106" s="4">
        <v>657593000</v>
      </c>
      <c r="M106" s="4">
        <v>499662000</v>
      </c>
      <c r="N106" s="4">
        <v>404149000</v>
      </c>
      <c r="O106" s="4">
        <v>1171578000</v>
      </c>
      <c r="P106" s="4">
        <v>1361761000</v>
      </c>
      <c r="Q106" s="5">
        <v>996109000</v>
      </c>
      <c r="R106" s="4">
        <v>1361761000</v>
      </c>
      <c r="S106" s="4">
        <v>1332670000</v>
      </c>
      <c r="T106" s="4">
        <v>1148367000</v>
      </c>
      <c r="U106" s="4">
        <v>996109000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v>122010000</v>
      </c>
      <c r="N107" s="4">
        <v>146888000</v>
      </c>
      <c r="O107" s="4">
        <v>175359000</v>
      </c>
      <c r="P107" s="4">
        <v>198538000</v>
      </c>
      <c r="Q107" s="5">
        <v>214168000</v>
      </c>
      <c r="R107" s="4">
        <v>198538000</v>
      </c>
      <c r="S107" s="4">
        <v>200498000</v>
      </c>
      <c r="T107" s="4">
        <v>204553000</v>
      </c>
      <c r="U107" s="4">
        <v>214168000</v>
      </c>
    </row>
    <row r="108" spans="1:21" ht="16" x14ac:dyDescent="0.2">
      <c r="A108" s="3" t="s">
        <v>119</v>
      </c>
      <c r="B108" s="4">
        <v>25880000</v>
      </c>
      <c r="C108" s="4">
        <v>32470000</v>
      </c>
      <c r="D108" s="4">
        <v>33125000</v>
      </c>
      <c r="E108" s="4">
        <v>40719000</v>
      </c>
      <c r="F108" s="4">
        <v>20075000</v>
      </c>
      <c r="G108" s="4">
        <v>27255000</v>
      </c>
      <c r="H108" s="4">
        <v>37368000</v>
      </c>
      <c r="I108" s="4">
        <v>47428000</v>
      </c>
      <c r="J108" s="4">
        <v>55728000</v>
      </c>
      <c r="K108" s="4">
        <v>47535000</v>
      </c>
      <c r="L108" s="4">
        <v>54078000</v>
      </c>
      <c r="M108" s="4">
        <v>60568000</v>
      </c>
      <c r="N108" s="4">
        <v>65914000</v>
      </c>
      <c r="O108" s="4">
        <v>67385000</v>
      </c>
      <c r="P108" s="4">
        <v>94230000</v>
      </c>
      <c r="Q108" s="5">
        <v>93111000</v>
      </c>
      <c r="R108" s="4">
        <v>94230000</v>
      </c>
      <c r="S108" s="4">
        <v>95491000</v>
      </c>
      <c r="T108" s="4">
        <v>97387000</v>
      </c>
      <c r="U108" s="4">
        <v>93111000</v>
      </c>
    </row>
    <row r="109" spans="1:21" ht="16" x14ac:dyDescent="0.2">
      <c r="A109" s="3" t="s">
        <v>120</v>
      </c>
      <c r="B109" s="4">
        <v>20032000</v>
      </c>
      <c r="C109" s="4">
        <v>24691000</v>
      </c>
      <c r="D109" s="4">
        <v>25593000</v>
      </c>
      <c r="E109" s="4">
        <v>32993000</v>
      </c>
      <c r="F109" s="4">
        <v>13453000</v>
      </c>
      <c r="G109" s="4">
        <v>19108000</v>
      </c>
      <c r="H109" s="4">
        <v>23504000</v>
      </c>
      <c r="I109" s="4">
        <v>29808000</v>
      </c>
      <c r="J109" s="4">
        <v>34475000</v>
      </c>
      <c r="K109" s="4">
        <v>24585000</v>
      </c>
      <c r="L109" s="4">
        <v>29399000</v>
      </c>
      <c r="M109" s="4">
        <v>32598000</v>
      </c>
      <c r="N109" s="4">
        <v>27653000</v>
      </c>
      <c r="O109" s="4">
        <v>35840000</v>
      </c>
      <c r="P109" s="4">
        <v>58759000</v>
      </c>
      <c r="Q109" s="5">
        <v>55226000</v>
      </c>
      <c r="R109" s="4">
        <v>58759000</v>
      </c>
      <c r="S109" s="4">
        <v>57868000</v>
      </c>
      <c r="T109" s="4">
        <v>58151000</v>
      </c>
      <c r="U109" s="4">
        <v>55226000</v>
      </c>
    </row>
    <row r="110" spans="1:21" ht="16"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5848000</v>
      </c>
      <c r="C114" s="4">
        <v>7779000</v>
      </c>
      <c r="D114" s="4">
        <v>7532000</v>
      </c>
      <c r="E114" s="4">
        <v>7726000</v>
      </c>
      <c r="F114" s="4">
        <v>6622000</v>
      </c>
      <c r="G114" s="4">
        <v>8147000</v>
      </c>
      <c r="H114" s="4">
        <v>13864000</v>
      </c>
      <c r="I114" s="4">
        <v>17620000</v>
      </c>
      <c r="J114" s="4">
        <v>21253000</v>
      </c>
      <c r="K114" s="4">
        <v>22950000</v>
      </c>
      <c r="L114" s="4">
        <v>24679000</v>
      </c>
      <c r="M114" s="4">
        <v>27970000</v>
      </c>
      <c r="N114" s="4">
        <v>38261000</v>
      </c>
      <c r="O114" s="4">
        <v>31545000</v>
      </c>
      <c r="P114" s="4">
        <v>35471000</v>
      </c>
      <c r="Q114" s="5">
        <v>37885000</v>
      </c>
      <c r="R114" s="4">
        <v>35471000</v>
      </c>
      <c r="S114" s="4">
        <v>37623000</v>
      </c>
      <c r="T114" s="4">
        <v>39236000</v>
      </c>
      <c r="U114" s="4">
        <v>37885000</v>
      </c>
    </row>
    <row r="115" spans="1:21" ht="16" x14ac:dyDescent="0.2">
      <c r="A115" s="3" t="s">
        <v>123</v>
      </c>
      <c r="B115" s="4">
        <v>326880000</v>
      </c>
      <c r="C115" s="4">
        <v>233170000</v>
      </c>
      <c r="D115" s="4">
        <v>231825000</v>
      </c>
      <c r="E115" s="4">
        <v>288019000</v>
      </c>
      <c r="F115" s="4">
        <v>250957000</v>
      </c>
      <c r="G115" s="4">
        <v>273673000</v>
      </c>
      <c r="H115" s="4">
        <v>356677000</v>
      </c>
      <c r="I115" s="4">
        <v>375443000</v>
      </c>
      <c r="J115" s="4">
        <v>492665000</v>
      </c>
      <c r="K115" s="4">
        <v>556350000</v>
      </c>
      <c r="L115" s="4">
        <v>711671000</v>
      </c>
      <c r="M115" s="4">
        <v>682240000</v>
      </c>
      <c r="N115" s="4">
        <v>616951000</v>
      </c>
      <c r="O115" s="4">
        <v>1414322000</v>
      </c>
      <c r="P115" s="4">
        <v>1654529000</v>
      </c>
      <c r="Q115" s="5">
        <v>1303388000</v>
      </c>
      <c r="R115" s="4">
        <v>1654529000</v>
      </c>
      <c r="S115" s="4">
        <v>1628659000</v>
      </c>
      <c r="T115" s="4">
        <v>1450307000</v>
      </c>
      <c r="U115" s="4">
        <v>1303388000</v>
      </c>
    </row>
    <row r="116" spans="1:21" ht="16" x14ac:dyDescent="0.2">
      <c r="A116" s="3" t="s">
        <v>124</v>
      </c>
      <c r="B116" s="4">
        <v>589172000</v>
      </c>
      <c r="C116" s="4">
        <v>493683000</v>
      </c>
      <c r="D116" s="4">
        <v>443363000</v>
      </c>
      <c r="E116" s="4">
        <v>518876000</v>
      </c>
      <c r="F116" s="4">
        <v>498953000</v>
      </c>
      <c r="G116" s="4">
        <v>537579000</v>
      </c>
      <c r="H116" s="4">
        <v>648585000</v>
      </c>
      <c r="I116" s="4">
        <v>680288000</v>
      </c>
      <c r="J116" s="4">
        <v>788885000</v>
      </c>
      <c r="K116" s="4">
        <v>877916000</v>
      </c>
      <c r="L116" s="4">
        <v>1017281000</v>
      </c>
      <c r="M116" s="4">
        <v>1073086000</v>
      </c>
      <c r="N116" s="4">
        <v>1100200000</v>
      </c>
      <c r="O116" s="4">
        <v>2158738000</v>
      </c>
      <c r="P116" s="4">
        <v>2330243000</v>
      </c>
      <c r="Q116" s="5">
        <v>2012508000</v>
      </c>
      <c r="R116" s="4">
        <v>2330243000</v>
      </c>
      <c r="S116" s="4">
        <v>2606079000</v>
      </c>
      <c r="T116" s="4">
        <v>2222047000</v>
      </c>
      <c r="U116" s="4">
        <v>2012508000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189713000</v>
      </c>
      <c r="C118" s="4">
        <v>202833000</v>
      </c>
      <c r="D118" s="4">
        <v>218793000</v>
      </c>
      <c r="E118" s="4">
        <v>243227000</v>
      </c>
      <c r="F118" s="4">
        <v>276380000</v>
      </c>
      <c r="G118" s="4">
        <v>310548000</v>
      </c>
      <c r="H118" s="4">
        <v>338664000</v>
      </c>
      <c r="I118" s="4">
        <v>374181000</v>
      </c>
      <c r="J118" s="4">
        <v>403203000</v>
      </c>
      <c r="K118" s="4">
        <v>426790000</v>
      </c>
      <c r="L118" s="4">
        <v>453233000</v>
      </c>
      <c r="M118" s="4">
        <v>485279000</v>
      </c>
      <c r="N118" s="4">
        <v>519619000</v>
      </c>
      <c r="O118" s="4">
        <v>552003000</v>
      </c>
      <c r="P118" s="4">
        <v>575815000</v>
      </c>
      <c r="Q118" s="5">
        <v>600048000</v>
      </c>
      <c r="R118" s="4">
        <v>575815000</v>
      </c>
      <c r="S118" s="4">
        <v>586634000</v>
      </c>
      <c r="T118" s="4">
        <v>593120000</v>
      </c>
      <c r="U118" s="4">
        <v>600048000</v>
      </c>
    </row>
    <row r="119" spans="1:21" ht="16" x14ac:dyDescent="0.2">
      <c r="A119" s="3" t="s">
        <v>127</v>
      </c>
      <c r="B119" s="4">
        <v>48000</v>
      </c>
      <c r="C119" s="4">
        <v>49000</v>
      </c>
      <c r="D119" s="4">
        <v>49000</v>
      </c>
      <c r="E119" s="4">
        <v>47000</v>
      </c>
      <c r="F119" s="4">
        <v>46000</v>
      </c>
      <c r="G119" s="4">
        <v>45000</v>
      </c>
      <c r="H119" s="4">
        <v>44000</v>
      </c>
      <c r="I119" s="4">
        <v>43000</v>
      </c>
      <c r="J119" s="4">
        <v>41000</v>
      </c>
      <c r="K119" s="4">
        <v>40000</v>
      </c>
      <c r="L119" s="4">
        <v>40000</v>
      </c>
      <c r="M119" s="4">
        <v>40000</v>
      </c>
      <c r="N119" s="4">
        <v>40000</v>
      </c>
      <c r="O119" s="4">
        <v>40000</v>
      </c>
      <c r="P119" s="4">
        <v>39000</v>
      </c>
      <c r="Q119" s="5">
        <v>39000</v>
      </c>
      <c r="R119" s="4">
        <v>39000</v>
      </c>
      <c r="S119" s="4">
        <v>39000</v>
      </c>
      <c r="T119" s="4">
        <v>39000</v>
      </c>
      <c r="U119" s="4">
        <v>39000</v>
      </c>
    </row>
    <row r="120" spans="1:21" ht="16" x14ac:dyDescent="0.2">
      <c r="A120" s="3" t="s">
        <v>128</v>
      </c>
      <c r="B120" s="4">
        <v>189665000</v>
      </c>
      <c r="C120" s="4">
        <v>202784000</v>
      </c>
      <c r="D120" s="4">
        <v>218744000</v>
      </c>
      <c r="E120" s="4">
        <v>243180000</v>
      </c>
      <c r="F120" s="4">
        <v>276334000</v>
      </c>
      <c r="G120" s="4">
        <v>310503000</v>
      </c>
      <c r="H120" s="4">
        <v>338620000</v>
      </c>
      <c r="I120" s="4">
        <v>374138000</v>
      </c>
      <c r="J120" s="4">
        <v>403162000</v>
      </c>
      <c r="K120" s="4">
        <v>426750000</v>
      </c>
      <c r="L120" s="4">
        <v>453193000</v>
      </c>
      <c r="M120" s="4">
        <v>485239000</v>
      </c>
      <c r="N120" s="4">
        <v>519579000</v>
      </c>
      <c r="O120" s="4">
        <v>551963000</v>
      </c>
      <c r="P120" s="4">
        <v>575776000</v>
      </c>
      <c r="Q120" s="5">
        <v>600009000</v>
      </c>
      <c r="R120" s="4">
        <v>575776000</v>
      </c>
      <c r="S120" s="4">
        <v>586595000</v>
      </c>
      <c r="T120" s="4">
        <v>593081000</v>
      </c>
      <c r="U120" s="4">
        <v>600009000</v>
      </c>
    </row>
    <row r="121" spans="1:21" ht="16" x14ac:dyDescent="0.2">
      <c r="A121" s="3" t="s">
        <v>129</v>
      </c>
      <c r="B121" s="4" t="s">
        <v>26</v>
      </c>
      <c r="C121" s="4" t="s">
        <v>26</v>
      </c>
      <c r="D121" s="4">
        <v>2344000</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54407000</v>
      </c>
      <c r="C122" s="4">
        <v>47128000</v>
      </c>
      <c r="D122" s="4">
        <v>67681000</v>
      </c>
      <c r="E122" s="4">
        <v>34299000</v>
      </c>
      <c r="F122" s="4">
        <v>5377000</v>
      </c>
      <c r="G122" s="4">
        <v>-27278000</v>
      </c>
      <c r="H122" s="4">
        <v>-90650000</v>
      </c>
      <c r="I122" s="4">
        <v>-104709000</v>
      </c>
      <c r="J122" s="4">
        <v>-183915000</v>
      </c>
      <c r="K122" s="4">
        <v>-196316000</v>
      </c>
      <c r="L122" s="4">
        <v>-218646000</v>
      </c>
      <c r="M122" s="4">
        <v>-64740000</v>
      </c>
      <c r="N122" s="4">
        <v>133870000</v>
      </c>
      <c r="O122" s="4">
        <v>526874000</v>
      </c>
      <c r="P122" s="4">
        <v>653484000</v>
      </c>
      <c r="Q122" s="5">
        <v>811434000</v>
      </c>
      <c r="R122" s="4">
        <v>653484000</v>
      </c>
      <c r="S122" s="4">
        <v>665561000</v>
      </c>
      <c r="T122" s="4">
        <v>854559000</v>
      </c>
      <c r="U122" s="4">
        <v>811434000</v>
      </c>
    </row>
    <row r="123" spans="1:21" ht="16" x14ac:dyDescent="0.2">
      <c r="A123" s="3" t="s">
        <v>131</v>
      </c>
      <c r="B123" s="4">
        <v>-2386000</v>
      </c>
      <c r="C123" s="4">
        <v>2226000</v>
      </c>
      <c r="D123" s="4">
        <v>1052000</v>
      </c>
      <c r="E123" s="4">
        <v>2220000</v>
      </c>
      <c r="F123" s="4">
        <v>-134000</v>
      </c>
      <c r="G123" s="4">
        <v>2912000</v>
      </c>
      <c r="H123" s="4">
        <v>-3662000</v>
      </c>
      <c r="I123" s="4">
        <v>-13729000</v>
      </c>
      <c r="J123" s="4">
        <v>-14078000</v>
      </c>
      <c r="K123" s="4">
        <v>-7328000</v>
      </c>
      <c r="L123" s="4">
        <v>-10997000</v>
      </c>
      <c r="M123" s="4">
        <v>-10359000</v>
      </c>
      <c r="N123" s="4">
        <v>-14019000</v>
      </c>
      <c r="O123" s="4">
        <v>-7484000</v>
      </c>
      <c r="P123" s="4">
        <v>5895000</v>
      </c>
      <c r="Q123" s="5">
        <v>6744000</v>
      </c>
      <c r="R123" s="4">
        <v>5895000</v>
      </c>
      <c r="S123" s="4">
        <v>4555000</v>
      </c>
      <c r="T123" s="4">
        <v>10853000</v>
      </c>
      <c r="U123" s="4">
        <v>6744000</v>
      </c>
    </row>
    <row r="124" spans="1:21" ht="16" x14ac:dyDescent="0.2">
      <c r="A124" s="3" t="s">
        <v>132</v>
      </c>
      <c r="B124" s="4">
        <v>241734000</v>
      </c>
      <c r="C124" s="4">
        <v>252187000</v>
      </c>
      <c r="D124" s="4">
        <v>285182000</v>
      </c>
      <c r="E124" s="4">
        <v>279746000</v>
      </c>
      <c r="F124" s="4">
        <v>281623000</v>
      </c>
      <c r="G124" s="4">
        <v>286182000</v>
      </c>
      <c r="H124" s="4">
        <v>244352000</v>
      </c>
      <c r="I124" s="4">
        <v>255743000</v>
      </c>
      <c r="J124" s="4">
        <v>205210000</v>
      </c>
      <c r="K124" s="4">
        <v>223146000</v>
      </c>
      <c r="L124" s="4">
        <v>223590000</v>
      </c>
      <c r="M124" s="4">
        <v>410180000</v>
      </c>
      <c r="N124" s="4">
        <v>639470000</v>
      </c>
      <c r="O124" s="4">
        <v>1071393000</v>
      </c>
      <c r="P124" s="4">
        <v>1235194000</v>
      </c>
      <c r="Q124" s="5">
        <v>1418226000</v>
      </c>
      <c r="R124" s="4">
        <v>1235194000</v>
      </c>
      <c r="S124" s="4">
        <v>1256750000</v>
      </c>
      <c r="T124" s="4">
        <v>1458532000</v>
      </c>
      <c r="U124" s="4">
        <v>1418226000</v>
      </c>
    </row>
    <row r="125" spans="1:21" ht="16" x14ac:dyDescent="0.2">
      <c r="A125" s="3" t="s">
        <v>133</v>
      </c>
      <c r="B125" s="4" t="s">
        <v>26</v>
      </c>
      <c r="C125" s="4" t="s">
        <v>26</v>
      </c>
      <c r="D125" s="4" t="s">
        <v>26</v>
      </c>
      <c r="E125" s="4" t="s">
        <v>26</v>
      </c>
      <c r="F125" s="4" t="s">
        <v>26</v>
      </c>
      <c r="G125" s="4" t="s">
        <v>26</v>
      </c>
      <c r="H125" s="4" t="s">
        <v>26</v>
      </c>
      <c r="I125" s="4" t="s">
        <v>26</v>
      </c>
      <c r="J125" s="4" t="s">
        <v>26</v>
      </c>
      <c r="K125" s="4" t="s">
        <v>26</v>
      </c>
      <c r="L125" s="4" t="s">
        <v>26</v>
      </c>
      <c r="M125" s="4" t="s">
        <v>26</v>
      </c>
      <c r="N125" s="4" t="s">
        <v>26</v>
      </c>
      <c r="O125" s="4" t="s">
        <v>26</v>
      </c>
      <c r="P125" s="4" t="s">
        <v>26</v>
      </c>
      <c r="Q125" s="5" t="s">
        <v>26</v>
      </c>
      <c r="R125" s="4" t="s">
        <v>26</v>
      </c>
      <c r="S125" s="4" t="s">
        <v>26</v>
      </c>
      <c r="T125" s="4" t="s">
        <v>26</v>
      </c>
      <c r="U125" s="4" t="s">
        <v>26</v>
      </c>
    </row>
    <row r="126" spans="1:21" ht="16" x14ac:dyDescent="0.2">
      <c r="A126" s="3" t="s">
        <v>134</v>
      </c>
      <c r="B126" s="4">
        <v>241734000</v>
      </c>
      <c r="C126" s="4">
        <v>252187000</v>
      </c>
      <c r="D126" s="4">
        <v>285182000</v>
      </c>
      <c r="E126" s="4">
        <v>279746000</v>
      </c>
      <c r="F126" s="4">
        <v>281623000</v>
      </c>
      <c r="G126" s="4">
        <v>286182000</v>
      </c>
      <c r="H126" s="4">
        <v>244352000</v>
      </c>
      <c r="I126" s="4">
        <v>255743000</v>
      </c>
      <c r="J126" s="4">
        <v>205210000</v>
      </c>
      <c r="K126" s="4">
        <v>223146000</v>
      </c>
      <c r="L126" s="4">
        <v>223590000</v>
      </c>
      <c r="M126" s="4">
        <v>410180000</v>
      </c>
      <c r="N126" s="4">
        <v>639470000</v>
      </c>
      <c r="O126" s="4">
        <v>1071393000</v>
      </c>
      <c r="P126" s="4">
        <v>1235194000</v>
      </c>
      <c r="Q126" s="5">
        <v>1418226000</v>
      </c>
      <c r="R126" s="4">
        <v>1235194000</v>
      </c>
      <c r="S126" s="4">
        <v>1256750000</v>
      </c>
      <c r="T126" s="4">
        <v>1458532000</v>
      </c>
      <c r="U126" s="4">
        <v>1418226000</v>
      </c>
    </row>
    <row r="127" spans="1:21" ht="16" x14ac:dyDescent="0.2">
      <c r="A127" s="3" t="s">
        <v>135</v>
      </c>
      <c r="B127" s="4">
        <v>830906000</v>
      </c>
      <c r="C127" s="4">
        <v>745870000</v>
      </c>
      <c r="D127" s="4">
        <v>728545000</v>
      </c>
      <c r="E127" s="4">
        <v>798622000</v>
      </c>
      <c r="F127" s="4">
        <v>780576000</v>
      </c>
      <c r="G127" s="4">
        <v>823761000</v>
      </c>
      <c r="H127" s="4">
        <v>892937000</v>
      </c>
      <c r="I127" s="4">
        <v>936031000</v>
      </c>
      <c r="J127" s="4">
        <v>994095000</v>
      </c>
      <c r="K127" s="4">
        <v>1101062000</v>
      </c>
      <c r="L127" s="4">
        <v>1240871000</v>
      </c>
      <c r="M127" s="4">
        <v>1483266000</v>
      </c>
      <c r="N127" s="4">
        <v>1739670000</v>
      </c>
      <c r="O127" s="4">
        <v>3230131000</v>
      </c>
      <c r="P127" s="4">
        <v>3565437000</v>
      </c>
      <c r="Q127" s="5">
        <v>3430734000</v>
      </c>
      <c r="R127" s="4">
        <v>3565437000</v>
      </c>
      <c r="S127" s="4">
        <v>3862829000</v>
      </c>
      <c r="T127" s="4">
        <v>3680579000</v>
      </c>
      <c r="U127" s="4">
        <v>3430734000</v>
      </c>
    </row>
    <row r="128" spans="1:21" ht="16" x14ac:dyDescent="0.2">
      <c r="A128" s="28" t="s">
        <v>136</v>
      </c>
      <c r="B128" s="26">
        <v>48282000</v>
      </c>
      <c r="C128" s="26">
        <v>48992000</v>
      </c>
      <c r="D128" s="26">
        <v>49382000</v>
      </c>
      <c r="E128" s="26">
        <v>47367000</v>
      </c>
      <c r="F128" s="26">
        <v>46304000</v>
      </c>
      <c r="G128" s="26">
        <v>45379000</v>
      </c>
      <c r="H128" s="26">
        <v>43511000</v>
      </c>
      <c r="I128" s="26">
        <v>42711000</v>
      </c>
      <c r="J128" s="26">
        <v>41090000</v>
      </c>
      <c r="K128" s="26">
        <v>40212000</v>
      </c>
      <c r="L128" s="26">
        <v>39506000</v>
      </c>
      <c r="M128" s="26">
        <v>40074000</v>
      </c>
      <c r="N128" s="26">
        <v>40232000</v>
      </c>
      <c r="O128" s="26">
        <v>40193000</v>
      </c>
      <c r="P128" s="26">
        <v>39069000</v>
      </c>
      <c r="Q128" s="27">
        <v>38677000</v>
      </c>
      <c r="R128" s="26">
        <v>39069000</v>
      </c>
      <c r="S128" s="26">
        <v>39033000</v>
      </c>
      <c r="T128" s="26">
        <v>39049000</v>
      </c>
      <c r="U128" s="26">
        <v>38677000</v>
      </c>
    </row>
    <row r="129" spans="1:21" ht="16" x14ac:dyDescent="0.2">
      <c r="A129" s="15" t="s">
        <v>199</v>
      </c>
      <c r="B129" s="10"/>
      <c r="C129" s="20">
        <f>(C128/B128)-1</f>
        <v>1.4705273186694789E-2</v>
      </c>
      <c r="D129" s="20">
        <f>(D128/C128)-1</f>
        <v>7.9604833442195044E-3</v>
      </c>
      <c r="E129" s="20">
        <f>(E128/D128)-1</f>
        <v>-4.0804341662954102E-2</v>
      </c>
      <c r="F129" s="20">
        <f t="shared" ref="F129:U129" si="9">(F128/E128)-1</f>
        <v>-2.2441784364642059E-2</v>
      </c>
      <c r="G129" s="20">
        <f t="shared" si="9"/>
        <v>-1.9976675881133388E-2</v>
      </c>
      <c r="H129" s="20">
        <f t="shared" si="9"/>
        <v>-4.1164415258159059E-2</v>
      </c>
      <c r="I129" s="20">
        <f t="shared" si="9"/>
        <v>-1.8386155225115441E-2</v>
      </c>
      <c r="J129" s="20">
        <f t="shared" si="9"/>
        <v>-3.7952752218398111E-2</v>
      </c>
      <c r="K129" s="20">
        <f t="shared" si="9"/>
        <v>-2.1367729374543676E-2</v>
      </c>
      <c r="L129" s="20">
        <f t="shared" si="9"/>
        <v>-1.7556948174674236E-2</v>
      </c>
      <c r="M129" s="20">
        <f t="shared" si="9"/>
        <v>1.437756290183767E-2</v>
      </c>
      <c r="N129" s="20">
        <f t="shared" si="9"/>
        <v>3.9427059939112219E-3</v>
      </c>
      <c r="O129" s="20">
        <f t="shared" si="9"/>
        <v>-9.693776098628204E-4</v>
      </c>
      <c r="P129" s="20">
        <f t="shared" si="9"/>
        <v>-2.796506854427383E-2</v>
      </c>
      <c r="Q129" s="20">
        <f t="shared" si="9"/>
        <v>-1.0033530420538006E-2</v>
      </c>
      <c r="R129" s="20">
        <f t="shared" si="9"/>
        <v>1.0135222483646622E-2</v>
      </c>
      <c r="S129" s="20">
        <f t="shared" si="9"/>
        <v>-9.2144667127391777E-4</v>
      </c>
      <c r="T129" s="20">
        <f t="shared" si="9"/>
        <v>4.0990956370245968E-4</v>
      </c>
      <c r="U129" s="20">
        <f t="shared" si="9"/>
        <v>-9.5264923557581982E-3</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v>178335000</v>
      </c>
      <c r="N130" s="4">
        <v>207821000</v>
      </c>
      <c r="O130" s="4">
        <v>244429000</v>
      </c>
      <c r="P130" s="4">
        <v>274022000</v>
      </c>
      <c r="Q130" s="5">
        <v>298892000</v>
      </c>
      <c r="R130" s="4">
        <v>274022000</v>
      </c>
      <c r="S130" s="4">
        <v>278996000</v>
      </c>
      <c r="T130" s="4">
        <v>284316000</v>
      </c>
      <c r="U130" s="4">
        <v>298892000</v>
      </c>
    </row>
    <row r="131" spans="1:21" ht="16" x14ac:dyDescent="0.2">
      <c r="A131" s="3" t="s">
        <v>138</v>
      </c>
      <c r="B131" s="4">
        <v>312141000</v>
      </c>
      <c r="C131" s="4">
        <v>233093000</v>
      </c>
      <c r="D131" s="4">
        <v>189113000</v>
      </c>
      <c r="E131" s="4">
        <v>229835000</v>
      </c>
      <c r="F131" s="4">
        <v>218442000</v>
      </c>
      <c r="G131" s="4">
        <v>238421000</v>
      </c>
      <c r="H131" s="4">
        <v>306008000</v>
      </c>
      <c r="I131" s="4">
        <v>316478000</v>
      </c>
      <c r="J131" s="4">
        <v>416086000</v>
      </c>
      <c r="K131" s="4">
        <v>489710000</v>
      </c>
      <c r="L131" s="4">
        <v>650403000</v>
      </c>
      <c r="M131" s="4">
        <v>482824000</v>
      </c>
      <c r="N131" s="4">
        <v>381890000</v>
      </c>
      <c r="O131" s="4">
        <v>1159029000</v>
      </c>
      <c r="P131" s="4">
        <v>1341212000</v>
      </c>
      <c r="Q131" s="5">
        <v>948677000</v>
      </c>
      <c r="R131" s="4">
        <v>1341212000</v>
      </c>
      <c r="S131" s="4">
        <v>1339280000</v>
      </c>
      <c r="T131" s="4">
        <v>1131361000</v>
      </c>
      <c r="U131" s="4">
        <v>948677000</v>
      </c>
    </row>
    <row r="132" spans="1:21" ht="16" x14ac:dyDescent="0.2">
      <c r="A132" s="3" t="s">
        <v>139</v>
      </c>
      <c r="B132" s="6">
        <v>129.13</v>
      </c>
      <c r="C132" s="6">
        <v>92.43</v>
      </c>
      <c r="D132" s="6">
        <v>66.31</v>
      </c>
      <c r="E132" s="6">
        <v>82.16</v>
      </c>
      <c r="F132" s="6">
        <v>77.569999999999993</v>
      </c>
      <c r="G132" s="6">
        <v>83.31</v>
      </c>
      <c r="H132" s="6">
        <v>125.23</v>
      </c>
      <c r="I132" s="6">
        <v>123.75</v>
      </c>
      <c r="J132" s="6">
        <v>202.76</v>
      </c>
      <c r="K132" s="6">
        <v>219.46</v>
      </c>
      <c r="L132" s="6">
        <v>290.89</v>
      </c>
      <c r="M132" s="6">
        <v>117.71</v>
      </c>
      <c r="N132" s="6">
        <v>59.72</v>
      </c>
      <c r="O132" s="6">
        <v>108.18</v>
      </c>
      <c r="P132" s="6">
        <v>108.58</v>
      </c>
      <c r="Q132" s="7">
        <v>66.89</v>
      </c>
      <c r="R132" s="6">
        <v>108.58</v>
      </c>
      <c r="S132" s="6">
        <v>106.57</v>
      </c>
      <c r="T132" s="6">
        <v>77.569999999999993</v>
      </c>
      <c r="U132" s="6">
        <v>66.89</v>
      </c>
    </row>
    <row r="133" spans="1:21" ht="16" x14ac:dyDescent="0.2">
      <c r="A133" s="3" t="s">
        <v>140</v>
      </c>
      <c r="B133" s="6">
        <v>9.08</v>
      </c>
      <c r="C133" s="6">
        <v>11.05</v>
      </c>
      <c r="D133" s="6">
        <v>17.45</v>
      </c>
      <c r="E133" s="6">
        <v>14.91</v>
      </c>
      <c r="F133" s="6">
        <v>16.78</v>
      </c>
      <c r="G133" s="6">
        <v>16.21</v>
      </c>
      <c r="H133" s="6">
        <v>8.26</v>
      </c>
      <c r="I133" s="6">
        <v>9.4700000000000006</v>
      </c>
      <c r="J133" s="6">
        <v>0.89</v>
      </c>
      <c r="K133" s="6">
        <v>2.2799999999999998</v>
      </c>
      <c r="L133" s="6">
        <v>2.2200000000000002</v>
      </c>
      <c r="M133" s="6">
        <v>16.399999999999999</v>
      </c>
      <c r="N133" s="6">
        <v>24.61</v>
      </c>
      <c r="O133" s="6">
        <v>3.15</v>
      </c>
      <c r="P133" s="6">
        <v>9.26</v>
      </c>
      <c r="Q133" s="7">
        <v>17.22</v>
      </c>
      <c r="R133" s="6">
        <v>9.26</v>
      </c>
      <c r="S133" s="6">
        <v>9.06</v>
      </c>
      <c r="T133" s="6">
        <v>17.03</v>
      </c>
      <c r="U133" s="6">
        <v>17.22</v>
      </c>
    </row>
    <row r="134" spans="1:21" ht="16" x14ac:dyDescent="0.2">
      <c r="A134" s="3" t="s">
        <v>141</v>
      </c>
      <c r="B134" s="6">
        <v>2.12</v>
      </c>
      <c r="C134" s="6">
        <v>1.89</v>
      </c>
      <c r="D134" s="6">
        <v>2.25</v>
      </c>
      <c r="E134" s="6">
        <v>2.33</v>
      </c>
      <c r="F134" s="6">
        <v>2.19</v>
      </c>
      <c r="G134" s="6">
        <v>2.19</v>
      </c>
      <c r="H134" s="6">
        <v>2.1800000000000002</v>
      </c>
      <c r="I134" s="6">
        <v>2.17</v>
      </c>
      <c r="J134" s="6">
        <v>2.35</v>
      </c>
      <c r="K134" s="6">
        <v>2.4300000000000002</v>
      </c>
      <c r="L134" s="6">
        <v>2.99</v>
      </c>
      <c r="M134" s="6">
        <v>2.4900000000000002</v>
      </c>
      <c r="N134" s="6">
        <v>2.3199999999999998</v>
      </c>
      <c r="O134" s="6">
        <v>2.38</v>
      </c>
      <c r="P134" s="6">
        <v>2.99</v>
      </c>
      <c r="Q134" s="7">
        <v>2.58</v>
      </c>
      <c r="R134" s="6">
        <v>2.99</v>
      </c>
      <c r="S134" s="6">
        <v>2.36</v>
      </c>
      <c r="T134" s="6">
        <v>2.72</v>
      </c>
      <c r="U134" s="6">
        <v>2.58</v>
      </c>
    </row>
    <row r="135" spans="1:21" ht="16" x14ac:dyDescent="0.2">
      <c r="A135" s="3" t="s">
        <v>142</v>
      </c>
      <c r="B135" s="6">
        <v>67.47</v>
      </c>
      <c r="C135" s="6">
        <v>67.61</v>
      </c>
      <c r="D135" s="6">
        <v>56.29</v>
      </c>
      <c r="E135" s="6">
        <v>68.599999999999994</v>
      </c>
      <c r="F135" s="6">
        <v>75.239999999999995</v>
      </c>
      <c r="G135" s="6">
        <v>65.819999999999993</v>
      </c>
      <c r="H135" s="6">
        <v>59.68</v>
      </c>
      <c r="I135" s="6">
        <v>57.92</v>
      </c>
      <c r="J135" s="6">
        <v>56.7</v>
      </c>
      <c r="K135" s="6">
        <v>60.43</v>
      </c>
      <c r="L135" s="6">
        <v>73.650000000000006</v>
      </c>
      <c r="M135" s="6">
        <v>79.06</v>
      </c>
      <c r="N135" s="6">
        <v>72.25</v>
      </c>
      <c r="O135" s="6">
        <v>86.08</v>
      </c>
      <c r="P135" s="6">
        <v>101.63</v>
      </c>
      <c r="Q135" s="7">
        <v>96.61</v>
      </c>
      <c r="R135" s="6">
        <v>101.63</v>
      </c>
      <c r="S135" s="6">
        <v>95.96</v>
      </c>
      <c r="T135" s="6">
        <v>97.1</v>
      </c>
      <c r="U135" s="6">
        <v>96.61</v>
      </c>
    </row>
    <row r="136" spans="1:21" ht="16" x14ac:dyDescent="0.2">
      <c r="A136" s="3" t="s">
        <v>143</v>
      </c>
      <c r="B136" s="4">
        <v>3400</v>
      </c>
      <c r="C136" s="4">
        <v>3200</v>
      </c>
      <c r="D136" s="4">
        <v>3200</v>
      </c>
      <c r="E136" s="4">
        <v>3300</v>
      </c>
      <c r="F136" s="4">
        <v>3400</v>
      </c>
      <c r="G136" s="4">
        <v>3600</v>
      </c>
      <c r="H136" s="4">
        <v>3700</v>
      </c>
      <c r="I136" s="4">
        <v>3800</v>
      </c>
      <c r="J136" s="4">
        <v>3900</v>
      </c>
      <c r="K136" s="4">
        <v>4000</v>
      </c>
      <c r="L136" s="4">
        <v>4000</v>
      </c>
      <c r="M136" s="4">
        <v>4500</v>
      </c>
      <c r="N136" s="4">
        <v>4500</v>
      </c>
      <c r="O136" s="4">
        <v>5500</v>
      </c>
      <c r="P136" s="4">
        <v>6000</v>
      </c>
      <c r="Q136" s="5">
        <v>6000</v>
      </c>
      <c r="R136" s="4">
        <v>6000</v>
      </c>
      <c r="S136" s="4">
        <v>6000</v>
      </c>
      <c r="T136" s="4">
        <v>6000</v>
      </c>
      <c r="U136" s="4">
        <v>6000</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56956000</v>
      </c>
      <c r="C139" s="4">
        <v>19202000</v>
      </c>
      <c r="D139" s="4">
        <v>57638000</v>
      </c>
      <c r="E139" s="4">
        <v>71993000</v>
      </c>
      <c r="F139" s="4">
        <v>81972000</v>
      </c>
      <c r="G139" s="4">
        <v>97330000</v>
      </c>
      <c r="H139" s="4">
        <v>111030000</v>
      </c>
      <c r="I139" s="4">
        <v>128224000</v>
      </c>
      <c r="J139" s="4">
        <v>148603000</v>
      </c>
      <c r="K139" s="4">
        <v>191339000</v>
      </c>
      <c r="L139" s="4">
        <v>234461000</v>
      </c>
      <c r="M139" s="4">
        <v>261575000</v>
      </c>
      <c r="N139" s="4">
        <v>366738000</v>
      </c>
      <c r="O139" s="4">
        <v>650624000</v>
      </c>
      <c r="P139" s="4">
        <v>748462000</v>
      </c>
      <c r="Q139" s="5">
        <v>543654000</v>
      </c>
      <c r="R139" s="4">
        <v>71862000</v>
      </c>
      <c r="S139" s="4">
        <v>101699000</v>
      </c>
      <c r="T139" s="4">
        <v>232250000</v>
      </c>
      <c r="U139" s="4">
        <v>137843000</v>
      </c>
    </row>
    <row r="140" spans="1:21" ht="16" x14ac:dyDescent="0.2">
      <c r="A140" s="3" t="s">
        <v>145</v>
      </c>
      <c r="B140" s="4">
        <v>13454000</v>
      </c>
      <c r="C140" s="4">
        <v>11545000</v>
      </c>
      <c r="D140" s="4">
        <v>11328000</v>
      </c>
      <c r="E140" s="4">
        <v>11305000</v>
      </c>
      <c r="F140" s="4">
        <v>12876000</v>
      </c>
      <c r="G140" s="4">
        <v>14596000</v>
      </c>
      <c r="H140" s="4">
        <v>15882000</v>
      </c>
      <c r="I140" s="4">
        <v>17388000</v>
      </c>
      <c r="J140" s="4">
        <v>21977000</v>
      </c>
      <c r="K140" s="4">
        <v>25725000</v>
      </c>
      <c r="L140" s="4">
        <v>27915000</v>
      </c>
      <c r="M140" s="4">
        <v>29274000</v>
      </c>
      <c r="N140" s="4">
        <v>29398000</v>
      </c>
      <c r="O140" s="4">
        <v>30026000</v>
      </c>
      <c r="P140" s="4">
        <v>39025000</v>
      </c>
      <c r="Q140" s="5">
        <v>39110000</v>
      </c>
      <c r="R140" s="4">
        <v>9330000</v>
      </c>
      <c r="S140" s="4">
        <v>9767000</v>
      </c>
      <c r="T140" s="4">
        <v>9762000</v>
      </c>
      <c r="U140" s="4">
        <v>10251000</v>
      </c>
    </row>
    <row r="141" spans="1:21" ht="16" x14ac:dyDescent="0.2">
      <c r="A141" s="3" t="s">
        <v>146</v>
      </c>
      <c r="B141" s="4">
        <v>9874000</v>
      </c>
      <c r="C141" s="4">
        <v>29652000</v>
      </c>
      <c r="D141" s="4">
        <v>1529000</v>
      </c>
      <c r="E141" s="4">
        <v>8898000</v>
      </c>
      <c r="F141" s="4">
        <v>13872000</v>
      </c>
      <c r="G141" s="4">
        <v>3143000</v>
      </c>
      <c r="H141" s="4">
        <v>9759000</v>
      </c>
      <c r="I141" s="4">
        <v>7232000</v>
      </c>
      <c r="J141" s="4">
        <v>10917000</v>
      </c>
      <c r="K141" s="4">
        <v>8196000</v>
      </c>
      <c r="L141" s="4">
        <v>22120000</v>
      </c>
      <c r="M141" s="4">
        <v>22108000</v>
      </c>
      <c r="N141" s="4">
        <v>22517000</v>
      </c>
      <c r="O141" s="4">
        <v>25183000</v>
      </c>
      <c r="P141" s="4">
        <v>39742000</v>
      </c>
      <c r="Q141" s="5">
        <v>31697000</v>
      </c>
      <c r="R141" s="4">
        <v>15633000</v>
      </c>
      <c r="S141" s="4">
        <v>7619000</v>
      </c>
      <c r="T141" s="4">
        <v>5784000</v>
      </c>
      <c r="U141" s="4">
        <v>2661000</v>
      </c>
    </row>
    <row r="142" spans="1:21" ht="16" x14ac:dyDescent="0.2">
      <c r="A142" s="28" t="s">
        <v>147</v>
      </c>
      <c r="B142" s="26">
        <v>6710000</v>
      </c>
      <c r="C142" s="26">
        <v>6429000</v>
      </c>
      <c r="D142" s="26">
        <v>7790000</v>
      </c>
      <c r="E142" s="26">
        <v>8233000</v>
      </c>
      <c r="F142" s="26">
        <v>8465000</v>
      </c>
      <c r="G142" s="26">
        <v>8150000</v>
      </c>
      <c r="H142" s="26">
        <v>9065000</v>
      </c>
      <c r="I142" s="26">
        <v>9543000</v>
      </c>
      <c r="J142" s="26">
        <v>9902000</v>
      </c>
      <c r="K142" s="26">
        <v>12482000</v>
      </c>
      <c r="L142" s="26">
        <v>12874000</v>
      </c>
      <c r="M142" s="26">
        <v>13472000</v>
      </c>
      <c r="N142" s="26">
        <v>14516000</v>
      </c>
      <c r="O142" s="26">
        <v>15187000</v>
      </c>
      <c r="P142" s="26">
        <v>14879000</v>
      </c>
      <c r="Q142" s="27">
        <v>17780000</v>
      </c>
      <c r="R142" s="26">
        <v>3188000</v>
      </c>
      <c r="S142" s="26">
        <v>4923000</v>
      </c>
      <c r="T142" s="26">
        <v>5073000</v>
      </c>
      <c r="U142" s="26">
        <v>4596000</v>
      </c>
    </row>
    <row r="143" spans="1:21" ht="16" x14ac:dyDescent="0.2">
      <c r="A143" s="12" t="s">
        <v>200</v>
      </c>
      <c r="B143" s="20">
        <f t="shared" ref="B143:U143" si="10">B142/B2</f>
        <v>3.7618792128421923E-3</v>
      </c>
      <c r="C143" s="20">
        <f t="shared" si="10"/>
        <v>4.1752338299798544E-3</v>
      </c>
      <c r="D143" s="20">
        <f t="shared" si="10"/>
        <v>4.827277650881861E-3</v>
      </c>
      <c r="E143" s="20">
        <f t="shared" si="10"/>
        <v>4.5909314466257515E-3</v>
      </c>
      <c r="F143" s="20">
        <f t="shared" si="10"/>
        <v>4.3321968460173985E-3</v>
      </c>
      <c r="G143" s="20">
        <f t="shared" si="10"/>
        <v>3.918834447276049E-3</v>
      </c>
      <c r="H143" s="20">
        <f t="shared" si="10"/>
        <v>4.035054452091685E-3</v>
      </c>
      <c r="I143" s="20">
        <f t="shared" si="10"/>
        <v>4.0382728227158875E-3</v>
      </c>
      <c r="J143" s="20">
        <f t="shared" si="10"/>
        <v>3.8517148143984584E-3</v>
      </c>
      <c r="K143" s="20">
        <f t="shared" si="10"/>
        <v>4.4767426012880052E-3</v>
      </c>
      <c r="L143" s="20">
        <f t="shared" si="10"/>
        <v>4.2940571969485976E-3</v>
      </c>
      <c r="M143" s="20">
        <f t="shared" si="10"/>
        <v>4.2106355428022414E-3</v>
      </c>
      <c r="N143" s="20">
        <f t="shared" si="10"/>
        <v>3.6874244752418506E-3</v>
      </c>
      <c r="O143" s="20">
        <f t="shared" si="10"/>
        <v>2.8678612217273866E-3</v>
      </c>
      <c r="P143" s="20">
        <f t="shared" si="10"/>
        <v>2.4077115380663257E-3</v>
      </c>
      <c r="Q143" s="20">
        <f t="shared" si="10"/>
        <v>3.1555796611709651E-3</v>
      </c>
      <c r="R143" s="20">
        <f t="shared" si="10"/>
        <v>2.9089714577706402E-3</v>
      </c>
      <c r="S143" s="20">
        <f t="shared" si="10"/>
        <v>4.0794713840371106E-3</v>
      </c>
      <c r="T143" s="20">
        <f t="shared" si="10"/>
        <v>2.731291621508558E-3</v>
      </c>
      <c r="U143" s="20">
        <f t="shared" si="10"/>
        <v>3.1171854175950061E-3</v>
      </c>
    </row>
    <row r="144" spans="1:21" ht="16" x14ac:dyDescent="0.2">
      <c r="A144" s="3" t="s">
        <v>148</v>
      </c>
      <c r="B144" s="4">
        <v>-2198000</v>
      </c>
      <c r="C144" s="4" t="s">
        <v>26</v>
      </c>
      <c r="D144" s="4">
        <v>1795000</v>
      </c>
      <c r="E144" s="4">
        <v>2605000</v>
      </c>
      <c r="F144" s="4">
        <v>3168000</v>
      </c>
      <c r="G144" s="4">
        <v>707000</v>
      </c>
      <c r="H144" s="4">
        <v>6986000</v>
      </c>
      <c r="I144" s="4">
        <v>4198000</v>
      </c>
      <c r="J144" s="4">
        <v>3749000</v>
      </c>
      <c r="K144" s="4">
        <v>-4636000</v>
      </c>
      <c r="L144" s="4">
        <v>4661000</v>
      </c>
      <c r="M144" s="4">
        <v>3723000</v>
      </c>
      <c r="N144" s="4">
        <v>-2542000</v>
      </c>
      <c r="O144" s="4">
        <v>4650000</v>
      </c>
      <c r="P144" s="4">
        <v>15169000</v>
      </c>
      <c r="Q144" s="5" t="s">
        <v>26</v>
      </c>
      <c r="R144" s="4" t="s">
        <v>26</v>
      </c>
      <c r="S144" s="4" t="s">
        <v>26</v>
      </c>
      <c r="T144" s="4" t="s">
        <v>26</v>
      </c>
      <c r="U144" s="4" t="s">
        <v>26</v>
      </c>
    </row>
    <row r="145" spans="1:21" ht="16" x14ac:dyDescent="0.2">
      <c r="A145" s="3" t="s">
        <v>149</v>
      </c>
      <c r="B145" s="4">
        <v>440000</v>
      </c>
      <c r="C145" s="4">
        <v>310000</v>
      </c>
      <c r="D145" s="4" t="s">
        <v>26</v>
      </c>
      <c r="E145" s="4">
        <v>1550000</v>
      </c>
      <c r="F145" s="4">
        <v>6946000</v>
      </c>
      <c r="G145" s="4" t="s">
        <v>26</v>
      </c>
      <c r="H145" s="4" t="s">
        <v>26</v>
      </c>
      <c r="I145" s="4">
        <v>500000</v>
      </c>
      <c r="J145" s="4">
        <v>4113000</v>
      </c>
      <c r="K145" s="4">
        <v>1200000</v>
      </c>
      <c r="L145" s="4" t="s">
        <v>26</v>
      </c>
      <c r="M145" s="4" t="s">
        <v>26</v>
      </c>
      <c r="N145" s="4">
        <v>6944000</v>
      </c>
      <c r="O145" s="4" t="s">
        <v>26</v>
      </c>
      <c r="P145" s="4">
        <v>605000</v>
      </c>
      <c r="Q145" s="5">
        <v>605000</v>
      </c>
      <c r="R145" s="4" t="s">
        <v>26</v>
      </c>
      <c r="S145" s="4" t="s">
        <v>26</v>
      </c>
      <c r="T145" s="4" t="s">
        <v>26</v>
      </c>
      <c r="U145" s="4" t="s">
        <v>26</v>
      </c>
    </row>
    <row r="146" spans="1:21" ht="16" x14ac:dyDescent="0.2">
      <c r="A146" s="3" t="s">
        <v>150</v>
      </c>
      <c r="B146" s="4">
        <v>4922000</v>
      </c>
      <c r="C146" s="4">
        <v>22913000</v>
      </c>
      <c r="D146" s="4">
        <v>-8056000</v>
      </c>
      <c r="E146" s="4">
        <v>-3490000</v>
      </c>
      <c r="F146" s="4">
        <v>-4707000</v>
      </c>
      <c r="G146" s="4">
        <v>-5714000</v>
      </c>
      <c r="H146" s="4">
        <v>-6292000</v>
      </c>
      <c r="I146" s="4">
        <v>-7009000</v>
      </c>
      <c r="J146" s="4">
        <v>-6847000</v>
      </c>
      <c r="K146" s="4">
        <v>-850000</v>
      </c>
      <c r="L146" s="4">
        <v>4585000</v>
      </c>
      <c r="M146" s="4">
        <v>4913000</v>
      </c>
      <c r="N146" s="4">
        <v>3599000</v>
      </c>
      <c r="O146" s="4">
        <v>5346000</v>
      </c>
      <c r="P146" s="4">
        <v>9089000</v>
      </c>
      <c r="Q146" s="5">
        <v>13312000</v>
      </c>
      <c r="R146" s="4">
        <v>12445000</v>
      </c>
      <c r="S146" s="4">
        <v>2696000</v>
      </c>
      <c r="T146" s="4">
        <v>711000</v>
      </c>
      <c r="U146" s="4">
        <v>-1935000</v>
      </c>
    </row>
    <row r="147" spans="1:21" ht="16" x14ac:dyDescent="0.2">
      <c r="A147" s="3" t="s">
        <v>151</v>
      </c>
      <c r="B147" s="4">
        <v>12998000</v>
      </c>
      <c r="C147" s="4">
        <v>52851000</v>
      </c>
      <c r="D147" s="4">
        <v>23464000</v>
      </c>
      <c r="E147" s="4">
        <v>-17093000</v>
      </c>
      <c r="F147" s="4">
        <v>10358000</v>
      </c>
      <c r="G147" s="4">
        <v>-9981000</v>
      </c>
      <c r="H147" s="4">
        <v>-14856000</v>
      </c>
      <c r="I147" s="4">
        <v>-6794000</v>
      </c>
      <c r="J147" s="4">
        <v>-16119000</v>
      </c>
      <c r="K147" s="4">
        <v>-49949000</v>
      </c>
      <c r="L147" s="4">
        <v>-165840000</v>
      </c>
      <c r="M147" s="4">
        <v>-14181000</v>
      </c>
      <c r="N147" s="4">
        <v>-21072000</v>
      </c>
      <c r="O147" s="4">
        <v>-392343000</v>
      </c>
      <c r="P147" s="4">
        <v>-342375000</v>
      </c>
      <c r="Q147" s="5">
        <v>312941000</v>
      </c>
      <c r="R147" s="4">
        <v>80559000</v>
      </c>
      <c r="S147" s="4">
        <v>-15882000</v>
      </c>
      <c r="T147" s="4">
        <v>25778000</v>
      </c>
      <c r="U147" s="4">
        <v>222486000</v>
      </c>
    </row>
    <row r="148" spans="1:21" ht="16" x14ac:dyDescent="0.2">
      <c r="A148" s="3" t="s">
        <v>152</v>
      </c>
      <c r="B148" s="4">
        <v>26350000</v>
      </c>
      <c r="C148" s="4">
        <v>25441000</v>
      </c>
      <c r="D148" s="4">
        <v>4832000</v>
      </c>
      <c r="E148" s="4">
        <v>-5887000</v>
      </c>
      <c r="F148" s="4">
        <v>-3396000</v>
      </c>
      <c r="G148" s="4">
        <v>-10085000</v>
      </c>
      <c r="H148" s="4">
        <v>-12751000</v>
      </c>
      <c r="I148" s="4">
        <v>-16656000</v>
      </c>
      <c r="J148" s="4">
        <v>-5666000</v>
      </c>
      <c r="K148" s="4">
        <v>-21903000</v>
      </c>
      <c r="L148" s="4">
        <v>-14371000</v>
      </c>
      <c r="M148" s="4">
        <v>-15691000</v>
      </c>
      <c r="N148" s="4">
        <v>-38688000</v>
      </c>
      <c r="O148" s="4">
        <v>-79940000</v>
      </c>
      <c r="P148" s="4">
        <v>19685000</v>
      </c>
      <c r="Q148" s="5">
        <v>91382000</v>
      </c>
      <c r="R148" s="4">
        <v>201460000</v>
      </c>
      <c r="S148" s="4">
        <v>-211015000</v>
      </c>
      <c r="T148" s="4">
        <v>-65930000</v>
      </c>
      <c r="U148" s="4">
        <v>166867000</v>
      </c>
    </row>
    <row r="149" spans="1:21" ht="16" x14ac:dyDescent="0.2">
      <c r="A149" s="3" t="s">
        <v>153</v>
      </c>
      <c r="B149" s="4">
        <v>-11098000</v>
      </c>
      <c r="C149" s="4">
        <v>56676000</v>
      </c>
      <c r="D149" s="4">
        <v>15951000</v>
      </c>
      <c r="E149" s="4">
        <v>-35339000</v>
      </c>
      <c r="F149" s="4">
        <v>-9232000</v>
      </c>
      <c r="G149" s="4">
        <v>-27291000</v>
      </c>
      <c r="H149" s="4">
        <v>-30409000</v>
      </c>
      <c r="I149" s="4">
        <v>-10848000</v>
      </c>
      <c r="J149" s="4">
        <v>-8050000</v>
      </c>
      <c r="K149" s="4">
        <v>-35783000</v>
      </c>
      <c r="L149" s="4">
        <v>-142170000</v>
      </c>
      <c r="M149" s="4">
        <v>-14165000</v>
      </c>
      <c r="N149" s="4">
        <v>-42447000</v>
      </c>
      <c r="O149" s="4">
        <v>-525207000</v>
      </c>
      <c r="P149" s="4">
        <v>-263567000</v>
      </c>
      <c r="Q149" s="5">
        <v>290551000</v>
      </c>
      <c r="R149" s="4">
        <v>-40299000</v>
      </c>
      <c r="S149" s="4">
        <v>-96011000</v>
      </c>
      <c r="T149" s="4">
        <v>297391000</v>
      </c>
      <c r="U149" s="4">
        <v>129470000</v>
      </c>
    </row>
    <row r="150" spans="1:21" ht="16" x14ac:dyDescent="0.2">
      <c r="A150" s="3" t="s">
        <v>154</v>
      </c>
      <c r="B150" s="4">
        <v>25000</v>
      </c>
      <c r="C150" s="4">
        <v>-6178000</v>
      </c>
      <c r="D150" s="4">
        <v>4694000</v>
      </c>
      <c r="E150" s="4">
        <v>-2951000</v>
      </c>
      <c r="F150" s="4">
        <v>-1159000</v>
      </c>
      <c r="G150" s="4">
        <v>504000</v>
      </c>
      <c r="H150" s="4">
        <v>-2265000</v>
      </c>
      <c r="I150" s="4">
        <v>-434000</v>
      </c>
      <c r="J150" s="4">
        <v>-3077000</v>
      </c>
      <c r="K150" s="4">
        <v>-4096000</v>
      </c>
      <c r="L150" s="4">
        <v>1018000</v>
      </c>
      <c r="M150" s="4">
        <v>-4218000</v>
      </c>
      <c r="N150" s="4">
        <v>-13744000</v>
      </c>
      <c r="O150" s="4">
        <v>-51199000</v>
      </c>
      <c r="P150" s="4">
        <v>-52815000</v>
      </c>
      <c r="Q150" s="5">
        <v>-45075000</v>
      </c>
      <c r="R150" s="4">
        <v>-21644000</v>
      </c>
      <c r="S150" s="4">
        <v>-5786000</v>
      </c>
      <c r="T150" s="4">
        <v>1363000</v>
      </c>
      <c r="U150" s="4">
        <v>-19008000</v>
      </c>
    </row>
    <row r="151" spans="1:21" ht="16" x14ac:dyDescent="0.2">
      <c r="A151" s="3" t="s">
        <v>155</v>
      </c>
      <c r="B151" s="4">
        <v>-24916000</v>
      </c>
      <c r="C151" s="4">
        <v>-1815000</v>
      </c>
      <c r="D151" s="4">
        <v>-14417000</v>
      </c>
      <c r="E151" s="4">
        <v>6402000</v>
      </c>
      <c r="F151" s="4">
        <v>24145000</v>
      </c>
      <c r="G151" s="4">
        <v>26891000</v>
      </c>
      <c r="H151" s="4">
        <v>30569000</v>
      </c>
      <c r="I151" s="4">
        <v>21144000</v>
      </c>
      <c r="J151" s="4">
        <v>674000</v>
      </c>
      <c r="K151" s="4">
        <v>11833000</v>
      </c>
      <c r="L151" s="4">
        <v>-10317000</v>
      </c>
      <c r="M151" s="4">
        <v>19893000</v>
      </c>
      <c r="N151" s="4">
        <v>73807000</v>
      </c>
      <c r="O151" s="4">
        <v>264003000</v>
      </c>
      <c r="P151" s="4">
        <v>-45678000</v>
      </c>
      <c r="Q151" s="5">
        <v>-23917000</v>
      </c>
      <c r="R151" s="4">
        <v>-58958000</v>
      </c>
      <c r="S151" s="4">
        <v>296930000</v>
      </c>
      <c r="T151" s="4">
        <v>-207046000</v>
      </c>
      <c r="U151" s="4">
        <v>-54843000</v>
      </c>
    </row>
    <row r="152" spans="1:21" ht="16" x14ac:dyDescent="0.2">
      <c r="A152" s="3" t="s">
        <v>156</v>
      </c>
      <c r="B152" s="4">
        <v>22637000</v>
      </c>
      <c r="C152" s="4">
        <v>-21273000</v>
      </c>
      <c r="D152" s="4">
        <v>12404000</v>
      </c>
      <c r="E152" s="4">
        <v>20682000</v>
      </c>
      <c r="F152" s="4" t="s">
        <v>26</v>
      </c>
      <c r="G152" s="4" t="s">
        <v>26</v>
      </c>
      <c r="H152" s="4" t="s">
        <v>26</v>
      </c>
      <c r="I152" s="4" t="s">
        <v>26</v>
      </c>
      <c r="J152" s="4" t="s">
        <v>26</v>
      </c>
      <c r="K152" s="4" t="s">
        <v>26</v>
      </c>
      <c r="L152" s="4" t="s">
        <v>26</v>
      </c>
      <c r="M152" s="4" t="s">
        <v>26</v>
      </c>
      <c r="N152" s="4" t="s">
        <v>26</v>
      </c>
      <c r="O152" s="4" t="s">
        <v>26</v>
      </c>
      <c r="P152" s="4" t="s">
        <v>26</v>
      </c>
      <c r="Q152" s="5" t="s">
        <v>26</v>
      </c>
      <c r="R152" s="4" t="s">
        <v>26</v>
      </c>
      <c r="S152" s="4" t="s">
        <v>26</v>
      </c>
      <c r="T152" s="4" t="s">
        <v>26</v>
      </c>
      <c r="U152" s="4" t="s">
        <v>26</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93282000</v>
      </c>
      <c r="C154" s="4">
        <v>113250000</v>
      </c>
      <c r="D154" s="4">
        <v>93959000</v>
      </c>
      <c r="E154" s="4">
        <v>75103000</v>
      </c>
      <c r="F154" s="4">
        <v>119078000</v>
      </c>
      <c r="G154" s="4">
        <v>105088000</v>
      </c>
      <c r="H154" s="4">
        <v>121815000</v>
      </c>
      <c r="I154" s="4">
        <v>146050000</v>
      </c>
      <c r="J154" s="4">
        <v>165378000</v>
      </c>
      <c r="K154" s="4">
        <v>175311000</v>
      </c>
      <c r="L154" s="4">
        <v>118656000</v>
      </c>
      <c r="M154" s="4">
        <v>298776000</v>
      </c>
      <c r="N154" s="4">
        <v>397581000</v>
      </c>
      <c r="O154" s="4">
        <v>313490000</v>
      </c>
      <c r="P154" s="4">
        <v>484854000</v>
      </c>
      <c r="Q154" s="5">
        <v>927402000</v>
      </c>
      <c r="R154" s="4">
        <v>177384000</v>
      </c>
      <c r="S154" s="4">
        <v>103203000</v>
      </c>
      <c r="T154" s="4">
        <v>273574000</v>
      </c>
      <c r="U154" s="4">
        <v>373241000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t="s">
        <v>26</v>
      </c>
      <c r="C156" s="4" t="s">
        <v>26</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t="s">
        <v>26</v>
      </c>
      <c r="C157" s="4" t="s">
        <v>26</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-7003000</v>
      </c>
      <c r="C159" s="4">
        <v>-7168000</v>
      </c>
      <c r="D159" s="4">
        <v>-8078000</v>
      </c>
      <c r="E159" s="4">
        <v>-19454000</v>
      </c>
      <c r="F159" s="4">
        <v>-16271000</v>
      </c>
      <c r="G159" s="4">
        <v>-18742000</v>
      </c>
      <c r="H159" s="4">
        <v>-17328000</v>
      </c>
      <c r="I159" s="4">
        <v>-29095000</v>
      </c>
      <c r="J159" s="4">
        <v>-34352000</v>
      </c>
      <c r="K159" s="4">
        <v>-39390000</v>
      </c>
      <c r="L159" s="4">
        <v>-31580000</v>
      </c>
      <c r="M159" s="4">
        <v>-33362000</v>
      </c>
      <c r="N159" s="4">
        <v>-21702000</v>
      </c>
      <c r="O159" s="4">
        <v>-37658000</v>
      </c>
      <c r="P159" s="4">
        <v>-43619000</v>
      </c>
      <c r="Q159" s="5">
        <v>-58612000</v>
      </c>
      <c r="R159" s="4">
        <v>-15654000</v>
      </c>
      <c r="S159" s="4">
        <v>-15570000</v>
      </c>
      <c r="T159" s="4">
        <v>-14621000</v>
      </c>
      <c r="U159" s="4">
        <v>-12767000</v>
      </c>
    </row>
    <row r="160" spans="1:21" ht="16" x14ac:dyDescent="0.2">
      <c r="A160" s="3" t="s">
        <v>164</v>
      </c>
      <c r="B160" s="4">
        <v>-7003000</v>
      </c>
      <c r="C160" s="4">
        <v>-7168000</v>
      </c>
      <c r="D160" s="4">
        <v>-8078000</v>
      </c>
      <c r="E160" s="4">
        <v>-19454000</v>
      </c>
      <c r="F160" s="4">
        <v>-16271000</v>
      </c>
      <c r="G160" s="4">
        <v>-18742000</v>
      </c>
      <c r="H160" s="4">
        <v>-17328000</v>
      </c>
      <c r="I160" s="4">
        <v>-29095000</v>
      </c>
      <c r="J160" s="4">
        <v>-34352000</v>
      </c>
      <c r="K160" s="4">
        <v>-39390000</v>
      </c>
      <c r="L160" s="4">
        <v>-31580000</v>
      </c>
      <c r="M160" s="4">
        <v>-33362000</v>
      </c>
      <c r="N160" s="4">
        <v>-21702000</v>
      </c>
      <c r="O160" s="4">
        <v>-37658000</v>
      </c>
      <c r="P160" s="4">
        <v>-43619000</v>
      </c>
      <c r="Q160" s="5">
        <v>-58612000</v>
      </c>
      <c r="R160" s="4">
        <v>-15654000</v>
      </c>
      <c r="S160" s="4">
        <v>-15570000</v>
      </c>
      <c r="T160" s="4">
        <v>-14621000</v>
      </c>
      <c r="U160" s="4">
        <v>-12767000</v>
      </c>
    </row>
    <row r="161" spans="1:21" ht="16" x14ac:dyDescent="0.2">
      <c r="A161" s="3" t="s">
        <v>165</v>
      </c>
      <c r="B161" s="4" t="s">
        <v>26</v>
      </c>
      <c r="C161" s="4" t="s">
        <v>26</v>
      </c>
      <c r="D161" s="4" t="s">
        <v>26</v>
      </c>
      <c r="E161" s="4" t="s">
        <v>26</v>
      </c>
      <c r="F161" s="4" t="s">
        <v>26</v>
      </c>
      <c r="G161" s="4" t="s">
        <v>26</v>
      </c>
      <c r="H161" s="4" t="s">
        <v>26</v>
      </c>
      <c r="I161" s="4" t="s">
        <v>26</v>
      </c>
      <c r="J161" s="4" t="s">
        <v>26</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t="s">
        <v>26</v>
      </c>
      <c r="C162" s="4" t="s">
        <v>26</v>
      </c>
      <c r="D162" s="4" t="s">
        <v>26</v>
      </c>
      <c r="E162" s="4">
        <v>-190000</v>
      </c>
      <c r="F162" s="4" t="s">
        <v>26</v>
      </c>
      <c r="G162" s="4" t="s">
        <v>26</v>
      </c>
      <c r="H162" s="4" t="s">
        <v>26</v>
      </c>
      <c r="I162" s="4" t="s">
        <v>26</v>
      </c>
      <c r="J162" s="4" t="s">
        <v>26</v>
      </c>
      <c r="K162" s="4" t="s">
        <v>26</v>
      </c>
      <c r="L162" s="4" t="s">
        <v>26</v>
      </c>
      <c r="M162" s="4" t="s">
        <v>26</v>
      </c>
      <c r="N162" s="4" t="s">
        <v>26</v>
      </c>
      <c r="O162" s="4" t="s">
        <v>26</v>
      </c>
      <c r="P162" s="4" t="s">
        <v>26</v>
      </c>
      <c r="Q162" s="5" t="s">
        <v>26</v>
      </c>
      <c r="R162" s="4" t="s">
        <v>26</v>
      </c>
      <c r="S162" s="4" t="s">
        <v>26</v>
      </c>
      <c r="T162" s="4" t="s">
        <v>26</v>
      </c>
      <c r="U162" s="4" t="s">
        <v>26</v>
      </c>
    </row>
    <row r="163" spans="1:21" ht="16" x14ac:dyDescent="0.2">
      <c r="A163" s="3" t="s">
        <v>167</v>
      </c>
      <c r="B163" s="4" t="s">
        <v>26</v>
      </c>
      <c r="C163" s="4" t="s">
        <v>26</v>
      </c>
      <c r="D163" s="4" t="s">
        <v>26</v>
      </c>
      <c r="E163" s="4" t="s">
        <v>26</v>
      </c>
      <c r="F163" s="4" t="s">
        <v>26</v>
      </c>
      <c r="G163" s="4" t="s">
        <v>26</v>
      </c>
      <c r="H163" s="4" t="s">
        <v>26</v>
      </c>
      <c r="I163" s="4" t="s">
        <v>26</v>
      </c>
      <c r="J163" s="4" t="s">
        <v>26</v>
      </c>
      <c r="K163" s="4" t="s">
        <v>26</v>
      </c>
      <c r="L163" s="4" t="s">
        <v>26</v>
      </c>
      <c r="M163" s="4" t="s">
        <v>26</v>
      </c>
      <c r="N163" s="4" t="s">
        <v>26</v>
      </c>
      <c r="O163" s="4" t="s">
        <v>26</v>
      </c>
      <c r="P163" s="4" t="s">
        <v>26</v>
      </c>
      <c r="Q163" s="5" t="s">
        <v>26</v>
      </c>
      <c r="R163" s="4" t="s">
        <v>26</v>
      </c>
      <c r="S163" s="4" t="s">
        <v>26</v>
      </c>
      <c r="T163" s="4" t="s">
        <v>26</v>
      </c>
      <c r="U163" s="4" t="s">
        <v>26</v>
      </c>
    </row>
    <row r="164" spans="1:21" ht="16" x14ac:dyDescent="0.2">
      <c r="A164" s="3" t="s">
        <v>168</v>
      </c>
      <c r="B164" s="4" t="s">
        <v>26</v>
      </c>
      <c r="C164" s="4" t="s">
        <v>26</v>
      </c>
      <c r="D164" s="4" t="s">
        <v>26</v>
      </c>
      <c r="E164" s="4">
        <v>-190000</v>
      </c>
      <c r="F164" s="4" t="s">
        <v>26</v>
      </c>
      <c r="G164" s="4" t="s">
        <v>26</v>
      </c>
      <c r="H164" s="4" t="s">
        <v>26</v>
      </c>
      <c r="I164" s="4" t="s">
        <v>26</v>
      </c>
      <c r="J164" s="4" t="s">
        <v>26</v>
      </c>
      <c r="K164" s="4" t="s">
        <v>26</v>
      </c>
      <c r="L164" s="4" t="s">
        <v>26</v>
      </c>
      <c r="M164" s="4" t="s">
        <v>26</v>
      </c>
      <c r="N164" s="4" t="s">
        <v>26</v>
      </c>
      <c r="O164" s="4" t="s">
        <v>26</v>
      </c>
      <c r="P164" s="4" t="s">
        <v>26</v>
      </c>
      <c r="Q164" s="5" t="s">
        <v>26</v>
      </c>
      <c r="R164" s="4" t="s">
        <v>26</v>
      </c>
      <c r="S164" s="4" t="s">
        <v>26</v>
      </c>
      <c r="T164" s="4" t="s">
        <v>26</v>
      </c>
      <c r="U164" s="4" t="s">
        <v>26</v>
      </c>
    </row>
    <row r="165" spans="1:21" ht="16" x14ac:dyDescent="0.2">
      <c r="A165" s="3" t="s">
        <v>169</v>
      </c>
      <c r="B165" s="4">
        <v>-34301000</v>
      </c>
      <c r="C165" s="4">
        <v>-10937000</v>
      </c>
      <c r="D165" s="4">
        <v>-6173000</v>
      </c>
      <c r="E165" s="4">
        <v>-5934000</v>
      </c>
      <c r="F165" s="4">
        <v>-4699000</v>
      </c>
      <c r="G165" s="4">
        <v>-1244000</v>
      </c>
      <c r="H165" s="4">
        <v>-10648000</v>
      </c>
      <c r="I165" s="4">
        <v>-4483000</v>
      </c>
      <c r="J165" s="4">
        <v>-19730000</v>
      </c>
      <c r="K165" s="4">
        <v>-12834000</v>
      </c>
      <c r="L165" s="4">
        <v>-2578000</v>
      </c>
      <c r="M165" s="4">
        <v>-8901000</v>
      </c>
      <c r="N165" s="4">
        <v>-124587000</v>
      </c>
      <c r="O165" s="4">
        <v>-811956000</v>
      </c>
      <c r="P165" s="4">
        <v>-9264000</v>
      </c>
      <c r="Q165" s="5">
        <v>-12455000</v>
      </c>
      <c r="R165" s="4">
        <v>-955000</v>
      </c>
      <c r="S165" s="4">
        <v>-1760000</v>
      </c>
      <c r="T165" s="4">
        <v>-9740000</v>
      </c>
      <c r="U165" s="4" t="s">
        <v>26</v>
      </c>
    </row>
    <row r="166" spans="1:21" ht="16" x14ac:dyDescent="0.2">
      <c r="A166" s="3" t="s">
        <v>170</v>
      </c>
      <c r="B166" s="4">
        <v>1165000</v>
      </c>
      <c r="C166" s="4" t="s">
        <v>26</v>
      </c>
      <c r="D166" s="4" t="s">
        <v>26</v>
      </c>
      <c r="E166" s="4" t="s">
        <v>26</v>
      </c>
      <c r="F166" s="4" t="s">
        <v>26</v>
      </c>
      <c r="G166" s="4" t="s">
        <v>26</v>
      </c>
      <c r="H166" s="4" t="s">
        <v>26</v>
      </c>
      <c r="I166" s="4" t="s">
        <v>26</v>
      </c>
      <c r="J166" s="4" t="s">
        <v>26</v>
      </c>
      <c r="K166" s="4" t="s">
        <v>26</v>
      </c>
      <c r="L166" s="4" t="s">
        <v>26</v>
      </c>
      <c r="M166" s="4" t="s">
        <v>26</v>
      </c>
      <c r="N166" s="4" t="s">
        <v>26</v>
      </c>
      <c r="O166" s="4" t="s">
        <v>26</v>
      </c>
      <c r="P166" s="4" t="s">
        <v>26</v>
      </c>
      <c r="Q166" s="5" t="s">
        <v>26</v>
      </c>
      <c r="R166" s="4" t="s">
        <v>26</v>
      </c>
      <c r="S166" s="4" t="s">
        <v>26</v>
      </c>
      <c r="T166" s="4" t="s">
        <v>26</v>
      </c>
      <c r="U166" s="4" t="s">
        <v>26</v>
      </c>
    </row>
    <row r="167" spans="1:21" ht="16" x14ac:dyDescent="0.2">
      <c r="A167" s="3" t="s">
        <v>171</v>
      </c>
      <c r="B167" s="4">
        <v>-35466000</v>
      </c>
      <c r="C167" s="4">
        <v>-10937000</v>
      </c>
      <c r="D167" s="4">
        <v>-6173000</v>
      </c>
      <c r="E167" s="4">
        <v>-5934000</v>
      </c>
      <c r="F167" s="4">
        <v>-4699000</v>
      </c>
      <c r="G167" s="4">
        <v>-1244000</v>
      </c>
      <c r="H167" s="4">
        <v>-10648000</v>
      </c>
      <c r="I167" s="4">
        <v>-4483000</v>
      </c>
      <c r="J167" s="4">
        <v>-19730000</v>
      </c>
      <c r="K167" s="4">
        <v>-12834000</v>
      </c>
      <c r="L167" s="4">
        <v>-2578000</v>
      </c>
      <c r="M167" s="4">
        <v>-8901000</v>
      </c>
      <c r="N167" s="4">
        <v>-124587000</v>
      </c>
      <c r="O167" s="4">
        <v>-811956000</v>
      </c>
      <c r="P167" s="4">
        <v>-9264000</v>
      </c>
      <c r="Q167" s="5">
        <v>-12455000</v>
      </c>
      <c r="R167" s="4">
        <v>-955000</v>
      </c>
      <c r="S167" s="4">
        <v>-1760000</v>
      </c>
      <c r="T167" s="4">
        <v>-9740000</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t="s">
        <v>26</v>
      </c>
      <c r="C169" s="4" t="s">
        <v>26</v>
      </c>
      <c r="D169" s="4" t="s">
        <v>26</v>
      </c>
      <c r="E169" s="4" t="s">
        <v>26</v>
      </c>
      <c r="F169" s="4">
        <v>-238000</v>
      </c>
      <c r="G169" s="4">
        <v>125000</v>
      </c>
      <c r="H169" s="4">
        <v>165000</v>
      </c>
      <c r="I169" s="4">
        <v>-4215000</v>
      </c>
      <c r="J169" s="4">
        <v>-1561000</v>
      </c>
      <c r="K169" s="4">
        <v>4000</v>
      </c>
      <c r="L169" s="4" t="s">
        <v>26</v>
      </c>
      <c r="M169" s="4" t="s">
        <v>26</v>
      </c>
      <c r="N169" s="4" t="s">
        <v>26</v>
      </c>
      <c r="O169" s="4" t="s">
        <v>26</v>
      </c>
      <c r="P169" s="4">
        <v>2013000</v>
      </c>
      <c r="Q169" s="5">
        <v>205000</v>
      </c>
      <c r="R169" s="4">
        <v>253000</v>
      </c>
      <c r="S169" s="4">
        <v>-230000</v>
      </c>
      <c r="T169" s="4">
        <v>61000</v>
      </c>
      <c r="U169" s="4">
        <v>121000</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-41304000</v>
      </c>
      <c r="C171" s="4">
        <v>-18105000</v>
      </c>
      <c r="D171" s="4">
        <v>-14251000</v>
      </c>
      <c r="E171" s="4">
        <v>-25578000</v>
      </c>
      <c r="F171" s="4">
        <v>-21208000</v>
      </c>
      <c r="G171" s="4">
        <v>-19861000</v>
      </c>
      <c r="H171" s="4">
        <v>-27811000</v>
      </c>
      <c r="I171" s="4">
        <v>-37793000</v>
      </c>
      <c r="J171" s="4">
        <v>-55643000</v>
      </c>
      <c r="K171" s="4">
        <v>-52220000</v>
      </c>
      <c r="L171" s="4">
        <v>-34158000</v>
      </c>
      <c r="M171" s="4">
        <v>-42263000</v>
      </c>
      <c r="N171" s="4">
        <v>-146289000</v>
      </c>
      <c r="O171" s="4">
        <v>-849614000</v>
      </c>
      <c r="P171" s="4">
        <v>-50870000</v>
      </c>
      <c r="Q171" s="5">
        <v>-70862000</v>
      </c>
      <c r="R171" s="4">
        <v>-16356000</v>
      </c>
      <c r="S171" s="4">
        <v>-17560000</v>
      </c>
      <c r="T171" s="4">
        <v>-24300000</v>
      </c>
      <c r="U171" s="4">
        <v>-12646000</v>
      </c>
    </row>
    <row r="172" spans="1:21" ht="16" x14ac:dyDescent="0.2">
      <c r="A172" s="3" t="s">
        <v>175</v>
      </c>
      <c r="B172" s="4">
        <v>-24431000</v>
      </c>
      <c r="C172" s="4">
        <v>-25310000</v>
      </c>
      <c r="D172" s="4">
        <v>-25746000</v>
      </c>
      <c r="E172" s="4">
        <v>-26470000</v>
      </c>
      <c r="F172" s="4">
        <v>-29135000</v>
      </c>
      <c r="G172" s="4">
        <v>-33808000</v>
      </c>
      <c r="H172" s="4">
        <v>-37600000</v>
      </c>
      <c r="I172" s="4">
        <v>-43117000</v>
      </c>
      <c r="J172" s="4">
        <v>-49749000</v>
      </c>
      <c r="K172" s="4">
        <v>-58029000</v>
      </c>
      <c r="L172" s="4">
        <v>-69430000</v>
      </c>
      <c r="M172" s="4">
        <v>-83772000</v>
      </c>
      <c r="N172" s="4">
        <v>-91929000</v>
      </c>
      <c r="O172" s="4">
        <v>-119581000</v>
      </c>
      <c r="P172" s="4">
        <v>-150624000</v>
      </c>
      <c r="Q172" s="5">
        <v>-164035000</v>
      </c>
      <c r="R172" s="4">
        <v>-39052000</v>
      </c>
      <c r="S172" s="4">
        <v>-39073000</v>
      </c>
      <c r="T172" s="4">
        <v>-42945000</v>
      </c>
      <c r="U172" s="4">
        <v>-42965000</v>
      </c>
    </row>
    <row r="173" spans="1:21" ht="16" x14ac:dyDescent="0.2">
      <c r="A173" s="3" t="s">
        <v>176</v>
      </c>
      <c r="B173" s="4" t="s">
        <v>26</v>
      </c>
      <c r="C173" s="4">
        <v>-79554000</v>
      </c>
      <c r="D173" s="4">
        <v>-53754000</v>
      </c>
      <c r="E173" s="4">
        <v>48451000</v>
      </c>
      <c r="F173" s="4">
        <v>591483000</v>
      </c>
      <c r="G173" s="4">
        <v>642462000</v>
      </c>
      <c r="H173" s="4">
        <v>57823000</v>
      </c>
      <c r="I173" s="4">
        <v>42783000</v>
      </c>
      <c r="J173" s="4">
        <v>162471000</v>
      </c>
      <c r="K173" s="4">
        <v>121512000</v>
      </c>
      <c r="L173" s="4">
        <v>277718000</v>
      </c>
      <c r="M173" s="4">
        <v>-1577870000</v>
      </c>
      <c r="N173" s="4">
        <v>-100774000</v>
      </c>
      <c r="O173" s="4">
        <v>704554000</v>
      </c>
      <c r="P173" s="4">
        <v>188305000</v>
      </c>
      <c r="Q173" s="5">
        <v>-451463000</v>
      </c>
      <c r="R173" s="4">
        <v>-55246000</v>
      </c>
      <c r="S173" s="4">
        <v>-121341000</v>
      </c>
      <c r="T173" s="4">
        <v>-229899000</v>
      </c>
      <c r="U173" s="4">
        <v>-44977000</v>
      </c>
    </row>
    <row r="174" spans="1:21" ht="16" x14ac:dyDescent="0.2">
      <c r="A174" s="3" t="s">
        <v>177</v>
      </c>
      <c r="B174" s="4" t="s">
        <v>26</v>
      </c>
      <c r="C174" s="4">
        <v>503937000</v>
      </c>
      <c r="D174" s="4">
        <v>453039000</v>
      </c>
      <c r="E174" s="4">
        <v>749349000</v>
      </c>
      <c r="F174" s="4">
        <v>1215846000</v>
      </c>
      <c r="G174" s="4">
        <v>1357872000</v>
      </c>
      <c r="H174" s="4">
        <v>824327000</v>
      </c>
      <c r="I174" s="4">
        <v>1831543000</v>
      </c>
      <c r="J174" s="4">
        <v>2326622000</v>
      </c>
      <c r="K174" s="4">
        <v>2163069000</v>
      </c>
      <c r="L174" s="4">
        <v>2293517000</v>
      </c>
      <c r="M174" s="4">
        <v>1282392000</v>
      </c>
      <c r="N174" s="4">
        <v>1067790000</v>
      </c>
      <c r="O174" s="4">
        <v>1697687000</v>
      </c>
      <c r="P174" s="4">
        <v>2195618000</v>
      </c>
      <c r="Q174" s="5">
        <v>1462511000</v>
      </c>
      <c r="R174" s="4">
        <v>288482000</v>
      </c>
      <c r="S174" s="4">
        <v>259090000</v>
      </c>
      <c r="T174" s="4">
        <v>457564000</v>
      </c>
      <c r="U174" s="4">
        <v>457375000</v>
      </c>
    </row>
    <row r="175" spans="1:21" ht="16" x14ac:dyDescent="0.2">
      <c r="A175" s="3" t="s">
        <v>178</v>
      </c>
      <c r="B175" s="4" t="s">
        <v>26</v>
      </c>
      <c r="C175" s="4">
        <v>-583491000</v>
      </c>
      <c r="D175" s="4">
        <v>-506793000</v>
      </c>
      <c r="E175" s="4">
        <v>-700898000</v>
      </c>
      <c r="F175" s="4">
        <v>-624363000</v>
      </c>
      <c r="G175" s="4">
        <v>-715410000</v>
      </c>
      <c r="H175" s="4">
        <v>-766504000</v>
      </c>
      <c r="I175" s="4">
        <v>-1788760000</v>
      </c>
      <c r="J175" s="4">
        <v>-2164151000</v>
      </c>
      <c r="K175" s="4">
        <v>-2041557000</v>
      </c>
      <c r="L175" s="4">
        <v>-2015799000</v>
      </c>
      <c r="M175" s="4">
        <v>-2860262000</v>
      </c>
      <c r="N175" s="4">
        <v>-1168564000</v>
      </c>
      <c r="O175" s="4">
        <v>-993133000</v>
      </c>
      <c r="P175" s="4">
        <v>-2007313000</v>
      </c>
      <c r="Q175" s="5">
        <v>-1913974000</v>
      </c>
      <c r="R175" s="4">
        <v>-343728000</v>
      </c>
      <c r="S175" s="4">
        <v>-380431000</v>
      </c>
      <c r="T175" s="4">
        <v>-687463000</v>
      </c>
      <c r="U175" s="4">
        <v>-502352000</v>
      </c>
    </row>
    <row r="176" spans="1:21" ht="16" x14ac:dyDescent="0.2">
      <c r="A176" s="3" t="s">
        <v>179</v>
      </c>
      <c r="B176" s="4">
        <v>-1295000</v>
      </c>
      <c r="C176" s="4">
        <v>3112000</v>
      </c>
      <c r="D176" s="4">
        <v>-7390000</v>
      </c>
      <c r="E176" s="4">
        <v>-63479000</v>
      </c>
      <c r="F176" s="4">
        <v>-61556000</v>
      </c>
      <c r="G176" s="4">
        <v>-74770000</v>
      </c>
      <c r="H176" s="4">
        <v>-122936000</v>
      </c>
      <c r="I176" s="4">
        <v>-80950000</v>
      </c>
      <c r="J176" s="4">
        <v>-166662000</v>
      </c>
      <c r="K176" s="4">
        <v>-134540000</v>
      </c>
      <c r="L176" s="4">
        <v>-173900000</v>
      </c>
      <c r="M176" s="4">
        <v>-4614000</v>
      </c>
      <c r="N176" s="4">
        <v>-76199000</v>
      </c>
      <c r="O176" s="4">
        <v>-138039000</v>
      </c>
      <c r="P176" s="4">
        <v>-471229000</v>
      </c>
      <c r="Q176" s="5">
        <v>-187129000</v>
      </c>
      <c r="R176" s="4">
        <v>-19000</v>
      </c>
      <c r="S176" s="4">
        <v>-50549000</v>
      </c>
      <c r="T176" s="4">
        <v>-193000</v>
      </c>
      <c r="U176" s="4">
        <v>-136368000</v>
      </c>
    </row>
    <row r="177" spans="1:21" ht="16" x14ac:dyDescent="0.2">
      <c r="A177" s="3" t="s">
        <v>180</v>
      </c>
      <c r="B177" s="4">
        <v>6423000</v>
      </c>
      <c r="C177" s="4">
        <v>4283000</v>
      </c>
      <c r="D177" s="4">
        <v>6293000</v>
      </c>
      <c r="E177" s="4">
        <v>13085000</v>
      </c>
      <c r="F177" s="4">
        <v>20205000</v>
      </c>
      <c r="G177" s="4">
        <v>21409000</v>
      </c>
      <c r="H177" s="4">
        <v>13530000</v>
      </c>
      <c r="I177" s="4">
        <v>18269000</v>
      </c>
      <c r="J177" s="4">
        <v>11752000</v>
      </c>
      <c r="K177" s="4">
        <v>11466000</v>
      </c>
      <c r="L177" s="4">
        <v>13569000</v>
      </c>
      <c r="M177" s="4">
        <v>18574000</v>
      </c>
      <c r="N177" s="4" t="s">
        <v>26</v>
      </c>
      <c r="O177" s="4" t="s">
        <v>26</v>
      </c>
      <c r="P177" s="4" t="s">
        <v>26</v>
      </c>
      <c r="Q177" s="5" t="s">
        <v>26</v>
      </c>
      <c r="R177" s="4" t="s">
        <v>26</v>
      </c>
      <c r="S177" s="4" t="s">
        <v>26</v>
      </c>
      <c r="T177" s="4" t="s">
        <v>26</v>
      </c>
      <c r="U177" s="4" t="s">
        <v>26</v>
      </c>
    </row>
    <row r="178" spans="1:21" ht="16" x14ac:dyDescent="0.2">
      <c r="A178" s="3" t="s">
        <v>181</v>
      </c>
      <c r="B178" s="4">
        <v>-7718000</v>
      </c>
      <c r="C178" s="4">
        <v>-1171000</v>
      </c>
      <c r="D178" s="4">
        <v>-13683000</v>
      </c>
      <c r="E178" s="4">
        <v>-76564000</v>
      </c>
      <c r="F178" s="4">
        <v>-81761000</v>
      </c>
      <c r="G178" s="4">
        <v>-96179000</v>
      </c>
      <c r="H178" s="4">
        <v>-136466000</v>
      </c>
      <c r="I178" s="4">
        <v>-99219000</v>
      </c>
      <c r="J178" s="4">
        <v>-178414000</v>
      </c>
      <c r="K178" s="4">
        <v>-146006000</v>
      </c>
      <c r="L178" s="4">
        <v>-187469000</v>
      </c>
      <c r="M178" s="4">
        <v>-23188000</v>
      </c>
      <c r="N178" s="4">
        <v>-76199000</v>
      </c>
      <c r="O178" s="4">
        <v>-138039000</v>
      </c>
      <c r="P178" s="4">
        <v>-471229000</v>
      </c>
      <c r="Q178" s="5">
        <v>-187129000</v>
      </c>
      <c r="R178" s="4">
        <v>-19000</v>
      </c>
      <c r="S178" s="4">
        <v>-50549000</v>
      </c>
      <c r="T178" s="4">
        <v>-193000</v>
      </c>
      <c r="U178" s="4">
        <v>-136368000</v>
      </c>
    </row>
    <row r="179" spans="1:21" ht="16" x14ac:dyDescent="0.2">
      <c r="A179" s="3" t="s">
        <v>182</v>
      </c>
      <c r="B179" s="4">
        <v>-19000000</v>
      </c>
      <c r="C179" s="4">
        <v>2408000</v>
      </c>
      <c r="D179" s="4">
        <v>1732000</v>
      </c>
      <c r="E179" s="4">
        <v>944000</v>
      </c>
      <c r="F179" s="4">
        <v>-603436000</v>
      </c>
      <c r="G179" s="4">
        <v>-623369000</v>
      </c>
      <c r="H179" s="4">
        <v>20730000</v>
      </c>
      <c r="I179" s="4">
        <v>-26520000</v>
      </c>
      <c r="J179" s="4">
        <v>-45732000</v>
      </c>
      <c r="K179" s="4">
        <v>-43392000</v>
      </c>
      <c r="L179" s="4">
        <v>-131959000</v>
      </c>
      <c r="M179" s="4">
        <v>1421770000</v>
      </c>
      <c r="N179" s="4">
        <v>24531000</v>
      </c>
      <c r="O179" s="4">
        <v>79197000</v>
      </c>
      <c r="P179" s="4">
        <v>21890000</v>
      </c>
      <c r="Q179" s="5">
        <v>-17462000</v>
      </c>
      <c r="R179" s="4">
        <v>-68937000</v>
      </c>
      <c r="S179" s="4">
        <v>105445000</v>
      </c>
      <c r="T179" s="4">
        <v>50013000</v>
      </c>
      <c r="U179" s="4">
        <v>-103983000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-44726000</v>
      </c>
      <c r="C181" s="4">
        <v>-99344000</v>
      </c>
      <c r="D181" s="4">
        <v>-85158000</v>
      </c>
      <c r="E181" s="4">
        <v>-40554000</v>
      </c>
      <c r="F181" s="4">
        <v>-102644000</v>
      </c>
      <c r="G181" s="4">
        <v>-89485000</v>
      </c>
      <c r="H181" s="4">
        <v>-81983000</v>
      </c>
      <c r="I181" s="4">
        <v>-107804000</v>
      </c>
      <c r="J181" s="4">
        <v>-99672000</v>
      </c>
      <c r="K181" s="4">
        <v>-114449000</v>
      </c>
      <c r="L181" s="4">
        <v>-97571000</v>
      </c>
      <c r="M181" s="4">
        <v>-244486000</v>
      </c>
      <c r="N181" s="4">
        <v>-244371000</v>
      </c>
      <c r="O181" s="4">
        <v>526131000</v>
      </c>
      <c r="P181" s="4">
        <v>-411658000</v>
      </c>
      <c r="Q181" s="5">
        <v>-820089000</v>
      </c>
      <c r="R181" s="4">
        <v>-163254000</v>
      </c>
      <c r="S181" s="4">
        <v>-105518000</v>
      </c>
      <c r="T181" s="4">
        <v>-223024000</v>
      </c>
      <c r="U181" s="4">
        <v>-328293000</v>
      </c>
    </row>
    <row r="182" spans="1:21" ht="16" x14ac:dyDescent="0.2">
      <c r="A182" s="3" t="s">
        <v>184</v>
      </c>
      <c r="B182" s="4">
        <v>-7315000</v>
      </c>
      <c r="C182" s="4">
        <v>4280000</v>
      </c>
      <c r="D182" s="4">
        <v>-672000</v>
      </c>
      <c r="E182" s="4">
        <v>-1205000</v>
      </c>
      <c r="F182" s="4">
        <v>-250000</v>
      </c>
      <c r="G182" s="4">
        <v>-199000</v>
      </c>
      <c r="H182" s="4">
        <v>-5197000</v>
      </c>
      <c r="I182" s="4">
        <v>-2046000</v>
      </c>
      <c r="J182" s="4">
        <v>-1344000</v>
      </c>
      <c r="K182" s="4">
        <v>-658000</v>
      </c>
      <c r="L182" s="4">
        <v>-509000</v>
      </c>
      <c r="M182" s="4">
        <v>198000</v>
      </c>
      <c r="N182" s="4">
        <v>-1376000</v>
      </c>
      <c r="O182" s="4">
        <v>186000</v>
      </c>
      <c r="P182" s="4">
        <v>-1056000</v>
      </c>
      <c r="Q182" s="5">
        <v>-310000</v>
      </c>
      <c r="R182" s="4">
        <v>-1262000</v>
      </c>
      <c r="S182" s="4">
        <v>754000</v>
      </c>
      <c r="T182" s="4">
        <v>505000</v>
      </c>
      <c r="U182" s="4">
        <v>-307000</v>
      </c>
    </row>
    <row r="183" spans="1:21" ht="16" x14ac:dyDescent="0.2">
      <c r="A183" s="3" t="s">
        <v>185</v>
      </c>
      <c r="B183" s="4">
        <v>7252000</v>
      </c>
      <c r="C183" s="4">
        <v>-4199000</v>
      </c>
      <c r="D183" s="4">
        <v>-5450000</v>
      </c>
      <c r="E183" s="4">
        <v>8971000</v>
      </c>
      <c r="F183" s="4">
        <v>-4774000</v>
      </c>
      <c r="G183" s="4">
        <v>-4258000</v>
      </c>
      <c r="H183" s="4">
        <v>12021000</v>
      </c>
      <c r="I183" s="4">
        <v>453000</v>
      </c>
      <c r="J183" s="4">
        <v>10063000</v>
      </c>
      <c r="K183" s="4">
        <v>8642000</v>
      </c>
      <c r="L183" s="4">
        <v>-13073000</v>
      </c>
      <c r="M183" s="4">
        <v>12027000</v>
      </c>
      <c r="N183" s="4">
        <v>6921000</v>
      </c>
      <c r="O183" s="4">
        <v>-9993000</v>
      </c>
      <c r="P183" s="4">
        <v>22326000</v>
      </c>
      <c r="Q183" s="5">
        <v>36451000</v>
      </c>
      <c r="R183" s="4">
        <v>-2226000</v>
      </c>
      <c r="S183" s="4">
        <v>-19875000</v>
      </c>
      <c r="T183" s="4">
        <v>26250000</v>
      </c>
      <c r="U183" s="4">
        <v>32302000</v>
      </c>
    </row>
    <row r="184" spans="1:21" ht="16" x14ac:dyDescent="0.2">
      <c r="A184" s="3" t="s">
        <v>56</v>
      </c>
      <c r="B184" s="4">
        <v>128930000</v>
      </c>
      <c r="C184" s="4">
        <v>99985000</v>
      </c>
      <c r="D184" s="4">
        <v>112573000</v>
      </c>
      <c r="E184" s="4">
        <v>136372000</v>
      </c>
      <c r="F184" s="4">
        <v>164691000</v>
      </c>
      <c r="G184" s="4">
        <v>180082000</v>
      </c>
      <c r="H184" s="4">
        <v>204752000</v>
      </c>
      <c r="I184" s="4">
        <v>233610000</v>
      </c>
      <c r="J184" s="4">
        <v>277836000</v>
      </c>
      <c r="K184" s="4">
        <v>310096000</v>
      </c>
      <c r="L184" s="4">
        <v>341804000</v>
      </c>
      <c r="M184" s="4">
        <v>370520000</v>
      </c>
      <c r="N184" s="4">
        <v>500369000</v>
      </c>
      <c r="O184" s="4">
        <v>860310000</v>
      </c>
      <c r="P184" s="4">
        <v>1064808000</v>
      </c>
      <c r="Q184" s="5">
        <v>813628000</v>
      </c>
      <c r="R184" s="4">
        <v>116625000</v>
      </c>
      <c r="S184" s="4">
        <v>155538000</v>
      </c>
      <c r="T184" s="4">
        <v>336771000</v>
      </c>
      <c r="U184" s="4">
        <v>204694000</v>
      </c>
    </row>
    <row r="185" spans="1:21" ht="16" x14ac:dyDescent="0.2">
      <c r="A185" s="3" t="s">
        <v>57</v>
      </c>
      <c r="B185" s="6">
        <v>7.23</v>
      </c>
      <c r="C185" s="6">
        <v>6.49</v>
      </c>
      <c r="D185" s="6">
        <v>6.98</v>
      </c>
      <c r="E185" s="6">
        <v>7.6</v>
      </c>
      <c r="F185" s="6">
        <v>8.43</v>
      </c>
      <c r="G185" s="6">
        <v>8.66</v>
      </c>
      <c r="H185" s="6">
        <v>9.11</v>
      </c>
      <c r="I185" s="6">
        <v>9.89</v>
      </c>
      <c r="J185" s="6">
        <v>10.81</v>
      </c>
      <c r="K185" s="6">
        <v>11.12</v>
      </c>
      <c r="L185" s="6">
        <v>11.4</v>
      </c>
      <c r="M185" s="6">
        <v>11.58</v>
      </c>
      <c r="N185" s="6">
        <v>12.71</v>
      </c>
      <c r="O185" s="6">
        <v>16.25</v>
      </c>
      <c r="P185" s="6">
        <v>17.23</v>
      </c>
      <c r="Q185" s="7">
        <v>14.44</v>
      </c>
      <c r="R185" s="6">
        <v>17.23</v>
      </c>
      <c r="S185" s="6">
        <v>16.32</v>
      </c>
      <c r="T185" s="6">
        <v>15.29</v>
      </c>
      <c r="U185" s="6">
        <v>14.44</v>
      </c>
    </row>
    <row r="186" spans="1:21" ht="16" x14ac:dyDescent="0.2">
      <c r="A186" s="3" t="s">
        <v>186</v>
      </c>
      <c r="B186" s="4">
        <v>34301000</v>
      </c>
      <c r="C186" s="4">
        <v>10937000</v>
      </c>
      <c r="D186" s="4">
        <v>6173000</v>
      </c>
      <c r="E186" s="4">
        <v>5934000</v>
      </c>
      <c r="F186" s="4">
        <v>4699000</v>
      </c>
      <c r="G186" s="4">
        <v>1244000</v>
      </c>
      <c r="H186" s="4">
        <v>10648000</v>
      </c>
      <c r="I186" s="4">
        <v>4483000</v>
      </c>
      <c r="J186" s="4">
        <v>19730000</v>
      </c>
      <c r="K186" s="4">
        <v>12834000</v>
      </c>
      <c r="L186" s="4">
        <v>2578000</v>
      </c>
      <c r="M186" s="4">
        <v>8901000</v>
      </c>
      <c r="N186" s="4">
        <v>124587000</v>
      </c>
      <c r="O186" s="4">
        <v>811956000</v>
      </c>
      <c r="P186" s="4">
        <v>9264000</v>
      </c>
      <c r="Q186" s="5">
        <v>12455000</v>
      </c>
      <c r="R186" s="4">
        <v>955000</v>
      </c>
      <c r="S186" s="4">
        <v>1760000</v>
      </c>
      <c r="T186" s="4">
        <v>9740000</v>
      </c>
      <c r="U186" s="4" t="s">
        <v>26</v>
      </c>
    </row>
    <row r="187" spans="1:21" ht="16" x14ac:dyDescent="0.2">
      <c r="A187" s="3" t="s">
        <v>187</v>
      </c>
      <c r="B187" s="4">
        <v>86279000</v>
      </c>
      <c r="C187" s="4">
        <v>106082000</v>
      </c>
      <c r="D187" s="4">
        <v>85881000</v>
      </c>
      <c r="E187" s="4">
        <v>55649000</v>
      </c>
      <c r="F187" s="4">
        <v>102807000</v>
      </c>
      <c r="G187" s="4">
        <v>86346000</v>
      </c>
      <c r="H187" s="4">
        <v>104487000</v>
      </c>
      <c r="I187" s="4">
        <v>116955000</v>
      </c>
      <c r="J187" s="4">
        <v>131026000</v>
      </c>
      <c r="K187" s="4">
        <v>135921000</v>
      </c>
      <c r="L187" s="4">
        <v>87076000</v>
      </c>
      <c r="M187" s="4">
        <v>265414000</v>
      </c>
      <c r="N187" s="4">
        <v>375879000</v>
      </c>
      <c r="O187" s="4">
        <v>275832000</v>
      </c>
      <c r="P187" s="4">
        <v>441235000</v>
      </c>
      <c r="Q187" s="5">
        <v>868790000</v>
      </c>
      <c r="R187" s="4">
        <v>161730000</v>
      </c>
      <c r="S187" s="4">
        <v>87633000</v>
      </c>
      <c r="T187" s="4">
        <v>258953000</v>
      </c>
      <c r="U187" s="4">
        <v>360474000</v>
      </c>
    </row>
    <row r="188" spans="1:21" ht="16" x14ac:dyDescent="0.2">
      <c r="A188" s="28" t="s">
        <v>188</v>
      </c>
      <c r="B188" s="26">
        <v>74791846</v>
      </c>
      <c r="C188" s="26">
        <v>111949966</v>
      </c>
      <c r="D188" s="26">
        <v>89905379</v>
      </c>
      <c r="E188" s="26">
        <v>60530923</v>
      </c>
      <c r="F188" s="26">
        <v>106623710</v>
      </c>
      <c r="G188" s="26">
        <v>90475791</v>
      </c>
      <c r="H188" s="26">
        <v>109060325</v>
      </c>
      <c r="I188" s="26">
        <v>121919309</v>
      </c>
      <c r="J188" s="26">
        <v>139931787</v>
      </c>
      <c r="K188" s="26">
        <v>146709748</v>
      </c>
      <c r="L188" s="26">
        <v>103780291</v>
      </c>
      <c r="M188" s="26">
        <v>284980744</v>
      </c>
      <c r="N188" s="26">
        <v>385900986</v>
      </c>
      <c r="O188" s="26">
        <v>282649037</v>
      </c>
      <c r="P188" s="26">
        <v>472311005</v>
      </c>
      <c r="Q188" s="27">
        <v>890153307</v>
      </c>
      <c r="R188" s="26">
        <v>173827459</v>
      </c>
      <c r="S188" s="26">
        <v>100022435</v>
      </c>
      <c r="T188" s="26">
        <v>246308934</v>
      </c>
      <c r="U188" s="26">
        <v>370833571</v>
      </c>
    </row>
    <row r="189" spans="1:21" ht="16" x14ac:dyDescent="0.2">
      <c r="A189" s="21" t="s">
        <v>201</v>
      </c>
      <c r="B189" s="22"/>
      <c r="C189" s="23">
        <f>(C188/B188)-1</f>
        <v>0.49682046890512632</v>
      </c>
      <c r="D189" s="23">
        <f>(D188/C188)-1</f>
        <v>-0.19691463774093509</v>
      </c>
      <c r="E189" s="23">
        <f>(E188/D188)-1</f>
        <v>-0.32672634637355791</v>
      </c>
      <c r="F189" s="23">
        <f t="shared" ref="F189:Q189" si="11">(F188/E188)-1</f>
        <v>0.76147503979081899</v>
      </c>
      <c r="G189" s="23">
        <f t="shared" si="11"/>
        <v>-0.15144773146610635</v>
      </c>
      <c r="H189" s="23">
        <f t="shared" si="11"/>
        <v>0.20540891430283259</v>
      </c>
      <c r="I189" s="23">
        <f t="shared" si="11"/>
        <v>0.11790707573996317</v>
      </c>
      <c r="J189" s="23">
        <f t="shared" si="11"/>
        <v>0.14774097842040756</v>
      </c>
      <c r="K189" s="23">
        <f t="shared" si="11"/>
        <v>4.8437607675231087E-2</v>
      </c>
      <c r="L189" s="23">
        <f t="shared" si="11"/>
        <v>-0.2926148915476291</v>
      </c>
      <c r="M189" s="23">
        <f t="shared" si="11"/>
        <v>1.7460006254944882</v>
      </c>
      <c r="N189" s="23">
        <f t="shared" si="11"/>
        <v>0.35413003904572582</v>
      </c>
      <c r="O189" s="23">
        <f t="shared" si="11"/>
        <v>-0.26756072864763292</v>
      </c>
      <c r="P189" s="23">
        <f t="shared" si="11"/>
        <v>0.67101579404991929</v>
      </c>
      <c r="Q189" s="23">
        <f t="shared" si="11"/>
        <v>0.88467619339083581</v>
      </c>
      <c r="R189" s="23"/>
      <c r="S189" s="23">
        <f t="shared" ref="S189:U189" si="12">(S188/R188)-1</f>
        <v>-0.42458783223656282</v>
      </c>
      <c r="T189" s="23">
        <f t="shared" si="12"/>
        <v>1.4625368698532486</v>
      </c>
      <c r="U189" s="23">
        <f t="shared" si="12"/>
        <v>0.50556281080734156</v>
      </c>
    </row>
    <row r="190" spans="1:21" ht="16" x14ac:dyDescent="0.2">
      <c r="A190" s="24" t="s">
        <v>202</v>
      </c>
      <c r="B190" s="25">
        <f t="shared" ref="B190:U190" si="13">B188/B2</f>
        <v>4.1931131260431367E-2</v>
      </c>
      <c r="C190" s="25">
        <f t="shared" si="13"/>
        <v>7.2704508525166356E-2</v>
      </c>
      <c r="D190" s="25">
        <f t="shared" si="13"/>
        <v>5.5712224228596077E-2</v>
      </c>
      <c r="E190" s="25">
        <f t="shared" si="13"/>
        <v>3.3753591387584353E-2</v>
      </c>
      <c r="F190" s="25">
        <f t="shared" si="13"/>
        <v>5.4567619630558034E-2</v>
      </c>
      <c r="G190" s="25">
        <f t="shared" si="13"/>
        <v>4.3504251093907778E-2</v>
      </c>
      <c r="H190" s="25">
        <f t="shared" si="13"/>
        <v>4.8545432977144636E-2</v>
      </c>
      <c r="I190" s="25">
        <f t="shared" si="13"/>
        <v>5.1592102284292209E-2</v>
      </c>
      <c r="J190" s="25">
        <f t="shared" si="13"/>
        <v>5.4431159058084183E-2</v>
      </c>
      <c r="K190" s="25">
        <f t="shared" si="13"/>
        <v>5.2618312681928188E-2</v>
      </c>
      <c r="L190" s="25">
        <f t="shared" si="13"/>
        <v>3.4615388027805637E-2</v>
      </c>
      <c r="M190" s="25">
        <f t="shared" si="13"/>
        <v>8.9069926492029897E-2</v>
      </c>
      <c r="N190" s="25">
        <f t="shared" si="13"/>
        <v>9.8028433507602833E-2</v>
      </c>
      <c r="O190" s="25">
        <f t="shared" si="13"/>
        <v>5.3374478999861016E-2</v>
      </c>
      <c r="P190" s="25">
        <f t="shared" si="13"/>
        <v>7.6429105201572825E-2</v>
      </c>
      <c r="Q190" s="25">
        <f t="shared" si="13"/>
        <v>0.15798367102886804</v>
      </c>
      <c r="R190" s="25">
        <f t="shared" si="13"/>
        <v>0.15861327377910797</v>
      </c>
      <c r="S190" s="25">
        <f t="shared" si="13"/>
        <v>8.2884148150357898E-2</v>
      </c>
      <c r="T190" s="25">
        <f t="shared" si="13"/>
        <v>0.13261216789609787</v>
      </c>
      <c r="U190" s="25">
        <f t="shared" si="13"/>
        <v>0.25151370754479596</v>
      </c>
    </row>
    <row r="191" spans="1:21" ht="16" x14ac:dyDescent="0.2">
      <c r="A191" s="3" t="s">
        <v>189</v>
      </c>
      <c r="B191" s="4">
        <v>86279000</v>
      </c>
      <c r="C191" s="4">
        <v>26528000</v>
      </c>
      <c r="D191" s="4">
        <v>32127000</v>
      </c>
      <c r="E191" s="4">
        <v>104100000</v>
      </c>
      <c r="F191" s="4">
        <v>694290000</v>
      </c>
      <c r="G191" s="4">
        <v>728808000</v>
      </c>
      <c r="H191" s="4">
        <v>162310000</v>
      </c>
      <c r="I191" s="4">
        <v>159738000</v>
      </c>
      <c r="J191" s="4">
        <v>293497000</v>
      </c>
      <c r="K191" s="4">
        <v>257433000</v>
      </c>
      <c r="L191" s="4">
        <v>364794000</v>
      </c>
      <c r="M191" s="4">
        <v>-1312456000</v>
      </c>
      <c r="N191" s="4">
        <v>275105000</v>
      </c>
      <c r="O191" s="4">
        <v>980386000</v>
      </c>
      <c r="P191" s="4">
        <v>629540000</v>
      </c>
      <c r="Q191" s="5">
        <v>417327000</v>
      </c>
      <c r="R191" s="4">
        <v>106484000</v>
      </c>
      <c r="S191" s="4">
        <v>-33708000</v>
      </c>
      <c r="T191" s="4">
        <v>29054000</v>
      </c>
      <c r="U191" s="4">
        <v>315497000</v>
      </c>
    </row>
    <row r="192" spans="1:21" ht="16" x14ac:dyDescent="0.2">
      <c r="A192" s="3" t="s">
        <v>190</v>
      </c>
      <c r="B192" s="6">
        <v>1.8</v>
      </c>
      <c r="C192" s="6">
        <v>2.1800000000000002</v>
      </c>
      <c r="D192" s="6">
        <v>1.74</v>
      </c>
      <c r="E192" s="6">
        <v>1.1599999999999999</v>
      </c>
      <c r="F192" s="6">
        <v>2.19</v>
      </c>
      <c r="G192" s="6">
        <v>1.87</v>
      </c>
      <c r="H192" s="6">
        <v>2.36</v>
      </c>
      <c r="I192" s="6">
        <v>2.71</v>
      </c>
      <c r="J192" s="6">
        <v>3.13</v>
      </c>
      <c r="K192" s="6">
        <v>3.33</v>
      </c>
      <c r="L192" s="6">
        <v>2.16</v>
      </c>
      <c r="M192" s="6">
        <v>6.66</v>
      </c>
      <c r="N192" s="6">
        <v>9.3699999999999992</v>
      </c>
      <c r="O192" s="6">
        <v>6.92</v>
      </c>
      <c r="P192" s="6">
        <v>11.2</v>
      </c>
      <c r="Q192" s="7">
        <v>22.38</v>
      </c>
      <c r="R192" s="6">
        <v>4.16</v>
      </c>
      <c r="S192" s="6">
        <v>2.25</v>
      </c>
      <c r="T192" s="6">
        <v>6.67</v>
      </c>
      <c r="U192" s="6">
        <v>9.31</v>
      </c>
    </row>
    <row r="193" spans="1:21" ht="16" x14ac:dyDescent="0.2">
      <c r="A193" s="3" t="s">
        <v>191</v>
      </c>
      <c r="B193" s="6">
        <v>8.69</v>
      </c>
      <c r="C193" s="6">
        <v>7.77</v>
      </c>
      <c r="D193" s="6">
        <v>11.08</v>
      </c>
      <c r="E193" s="6">
        <v>15.59</v>
      </c>
      <c r="F193" s="6">
        <v>15.03</v>
      </c>
      <c r="G193" s="6">
        <v>22.32</v>
      </c>
      <c r="H193" s="6">
        <v>20.72</v>
      </c>
      <c r="I193" s="6">
        <v>20.41</v>
      </c>
      <c r="J193" s="6">
        <v>22.46</v>
      </c>
      <c r="K193" s="6">
        <v>25.63</v>
      </c>
      <c r="L193" s="6">
        <v>41.25</v>
      </c>
      <c r="M193" s="6">
        <v>26.13</v>
      </c>
      <c r="N193" s="6">
        <v>36.31</v>
      </c>
      <c r="O193" s="6">
        <v>65.25</v>
      </c>
      <c r="P193" s="6">
        <v>22.77</v>
      </c>
      <c r="Q193" s="7">
        <v>14.13</v>
      </c>
      <c r="R193" s="6">
        <v>23.17</v>
      </c>
      <c r="S193" s="6">
        <v>16.190000000000001</v>
      </c>
      <c r="T193" s="6">
        <v>16.739999999999998</v>
      </c>
      <c r="U193" s="6">
        <v>14.36</v>
      </c>
    </row>
    <row r="194" spans="1:21" ht="16" x14ac:dyDescent="0.2">
      <c r="A194" s="3" t="s">
        <v>192</v>
      </c>
      <c r="B194" s="6">
        <v>1.64</v>
      </c>
      <c r="C194" s="6">
        <v>5.9</v>
      </c>
      <c r="D194" s="6">
        <v>1.63</v>
      </c>
      <c r="E194" s="6">
        <v>1.04</v>
      </c>
      <c r="F194" s="6">
        <v>1.45</v>
      </c>
      <c r="G194" s="6">
        <v>1.08</v>
      </c>
      <c r="H194" s="6">
        <v>1.1000000000000001</v>
      </c>
      <c r="I194" s="6">
        <v>1.1399999999999999</v>
      </c>
      <c r="J194" s="6">
        <v>1.1100000000000001</v>
      </c>
      <c r="K194" s="6">
        <v>0.91</v>
      </c>
      <c r="L194" s="6">
        <v>0.51</v>
      </c>
      <c r="M194" s="6">
        <v>1.1399999999999999</v>
      </c>
      <c r="N194" s="6">
        <v>1.08</v>
      </c>
      <c r="O194" s="6">
        <v>0.48</v>
      </c>
      <c r="P194" s="6">
        <v>0.65</v>
      </c>
      <c r="Q194" s="7">
        <v>1.71</v>
      </c>
      <c r="R194" s="6">
        <v>2.4700000000000002</v>
      </c>
      <c r="S194" s="6">
        <v>1.01</v>
      </c>
      <c r="T194" s="6">
        <v>1.18</v>
      </c>
      <c r="U194" s="6">
        <v>2.71</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E663-DE28-DD49-9BF3-C5855D8370C0}">
  <dimension ref="A1:R110"/>
  <sheetViews>
    <sheetView tabSelected="1" workbookViewId="0">
      <selection activeCell="D20" sqref="D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13697067680</v>
      </c>
      <c r="B3" s="36" t="s">
        <v>203</v>
      </c>
      <c r="C3" s="37">
        <f>Financials!Q8*0.01</f>
        <v>0.29850000000000004</v>
      </c>
      <c r="D3" s="36" t="s">
        <v>204</v>
      </c>
      <c r="E3" s="37">
        <f>SUM(C11:E11)/3</f>
        <v>0.24751626138235303</v>
      </c>
      <c r="F3" s="38" t="s">
        <v>205</v>
      </c>
      <c r="G3" s="39">
        <f>AVERAGE(Financials!M129:Q129)</f>
        <v>-4.1295415357851528E-3</v>
      </c>
      <c r="H3" s="38" t="s">
        <v>206</v>
      </c>
      <c r="I3" s="40">
        <f>J15*(1+I7)/(I6-I7)</f>
        <v>12454221106.703257</v>
      </c>
      <c r="J3" s="41" t="s">
        <v>207</v>
      </c>
      <c r="K3" s="42">
        <f>Financials!Q172*-1/Model!A3</f>
        <v>1.1975920965880779E-2</v>
      </c>
      <c r="L3" s="43" t="s">
        <v>208</v>
      </c>
      <c r="M3" s="44"/>
      <c r="N3" s="116" t="s">
        <v>209</v>
      </c>
      <c r="O3" s="117"/>
      <c r="P3" s="44"/>
      <c r="Q3" s="44"/>
      <c r="R3" s="44"/>
    </row>
    <row r="4" spans="1:18" ht="22" customHeight="1" x14ac:dyDescent="0.2">
      <c r="A4" s="45">
        <f>Financials!Q56-Financials!Q96-Financials!Q105</f>
        <v>-1247569000</v>
      </c>
      <c r="B4" s="46" t="s">
        <v>210</v>
      </c>
      <c r="C4" s="47">
        <f>Financials!Q17*0.01</f>
        <v>0.13750000000000001</v>
      </c>
      <c r="D4" s="46" t="s">
        <v>211</v>
      </c>
      <c r="E4" s="47">
        <f>SUM(C13:E13)/3</f>
        <v>0.44216574894350447</v>
      </c>
      <c r="F4" s="48" t="s">
        <v>212</v>
      </c>
      <c r="G4" s="49">
        <f>A5*(1+(5*G3))</f>
        <v>37880533.804576524</v>
      </c>
      <c r="H4" s="48" t="s">
        <v>213</v>
      </c>
      <c r="I4" s="50">
        <f>NPV(I6,F15,G15,H15,I15,(J15+I3))</f>
        <v>10652812237.853392</v>
      </c>
      <c r="J4" s="48" t="s">
        <v>214</v>
      </c>
      <c r="K4" s="51" cm="1">
        <f t="array" ref="K4">_FV(A1,"Change (%)",TRUE)</f>
        <v>-2.6446999999999998E-2</v>
      </c>
      <c r="L4" s="52" t="s">
        <v>215</v>
      </c>
      <c r="M4" s="44"/>
      <c r="N4" s="118" t="s">
        <v>216</v>
      </c>
      <c r="O4" s="119"/>
      <c r="P4" s="44"/>
      <c r="Q4" s="44"/>
      <c r="R4" s="44"/>
    </row>
    <row r="5" spans="1:18" ht="22" customHeight="1" x14ac:dyDescent="0.2">
      <c r="A5" s="45" cm="1">
        <f t="array" ref="A5">_FV(A1,"Shares outstanding",TRUE)</f>
        <v>38679170</v>
      </c>
      <c r="B5" s="46" t="s">
        <v>217</v>
      </c>
      <c r="C5" s="47">
        <f>F14</f>
        <v>9.2985611510791363E-2</v>
      </c>
      <c r="D5" s="53" t="s">
        <v>218</v>
      </c>
      <c r="E5" s="47">
        <f>SUM(C16:E16)/3</f>
        <v>0.25252836814933738</v>
      </c>
      <c r="F5" s="48" t="s">
        <v>219</v>
      </c>
      <c r="G5" s="49">
        <f>Financials!Q56</f>
        <v>85220000</v>
      </c>
      <c r="H5" s="48" t="s">
        <v>220</v>
      </c>
      <c r="I5" s="50">
        <f>I4+G5-G6</f>
        <v>9405243237.8533916</v>
      </c>
      <c r="J5" s="48" t="s">
        <v>221</v>
      </c>
      <c r="K5" s="54" cm="1">
        <f t="array" ref="K5">_FV(A1,"Price")</f>
        <v>354.12</v>
      </c>
      <c r="L5" s="55" t="s">
        <v>222</v>
      </c>
      <c r="M5" s="44"/>
      <c r="N5" s="56" t="s">
        <v>223</v>
      </c>
      <c r="O5" s="57">
        <f>Financials!Q20</f>
        <v>28025000</v>
      </c>
      <c r="P5" s="44"/>
      <c r="Q5" s="44"/>
      <c r="R5" s="44"/>
    </row>
    <row r="6" spans="1:18" ht="22" customHeight="1" x14ac:dyDescent="0.2">
      <c r="A6" s="58">
        <f>O20/F10</f>
        <v>2.463501381294964</v>
      </c>
      <c r="B6" s="46" t="s">
        <v>224</v>
      </c>
      <c r="C6" s="47">
        <f>F17</f>
        <v>0.13345323741007195</v>
      </c>
      <c r="D6" s="53" t="s">
        <v>202</v>
      </c>
      <c r="E6" s="47">
        <f>Financials!Q33/Financials!Q126</f>
        <v>0.38333453201393852</v>
      </c>
      <c r="F6" s="46" t="s">
        <v>225</v>
      </c>
      <c r="G6" s="49">
        <f>Financials!Q96+Financials!Q105</f>
        <v>1332789000</v>
      </c>
      <c r="H6" s="48" t="s">
        <v>226</v>
      </c>
      <c r="I6" s="51">
        <f>N25</f>
        <v>9.0841130727850175E-2</v>
      </c>
      <c r="J6" s="48" t="s">
        <v>227</v>
      </c>
      <c r="K6" s="59">
        <f>I5/G4</f>
        <v>248.28697732652068</v>
      </c>
      <c r="L6" s="60" t="s">
        <v>228</v>
      </c>
      <c r="M6" s="44"/>
      <c r="N6" s="56" t="s">
        <v>229</v>
      </c>
      <c r="O6" s="57">
        <f>Financials!Q96</f>
        <v>122512000</v>
      </c>
      <c r="P6" s="44"/>
      <c r="Q6" s="44"/>
      <c r="R6" s="44"/>
    </row>
    <row r="7" spans="1:18" ht="22" customHeight="1" thickBot="1" x14ac:dyDescent="0.25">
      <c r="A7" s="61">
        <f>O20/F12</f>
        <v>26.493361083172147</v>
      </c>
      <c r="B7" s="62" t="s">
        <v>230</v>
      </c>
      <c r="C7" s="63">
        <f>F15/A3</f>
        <v>5.4172178844048756E-2</v>
      </c>
      <c r="D7" s="62" t="s">
        <v>231</v>
      </c>
      <c r="E7" s="64">
        <f>(Financials!Q16*(1-0.25))/(Financials!Q126+Financials!Q105+Financials!Q96)</f>
        <v>0.21115424670530694</v>
      </c>
      <c r="F7" s="62" t="s">
        <v>198</v>
      </c>
      <c r="G7" s="65">
        <f>(Financials!Q96+Financials!Q105)/Financials!Q126</f>
        <v>0.93975783831349868</v>
      </c>
      <c r="H7" s="66" t="s">
        <v>232</v>
      </c>
      <c r="I7" s="67">
        <v>2.5000000000000001E-2</v>
      </c>
      <c r="J7" s="68" t="s">
        <v>233</v>
      </c>
      <c r="K7" s="69">
        <f>K6/K5-1</f>
        <v>-0.29886203172223913</v>
      </c>
      <c r="L7" s="70" t="s">
        <v>234</v>
      </c>
      <c r="M7" s="44"/>
      <c r="N7" s="56" t="s">
        <v>235</v>
      </c>
      <c r="O7" s="57">
        <f>Financials!Q105</f>
        <v>1210277000</v>
      </c>
      <c r="P7" s="44"/>
      <c r="Q7" s="44"/>
      <c r="R7" s="44"/>
    </row>
    <row r="8" spans="1:18" ht="22" customHeight="1" x14ac:dyDescent="0.2">
      <c r="A8" s="71"/>
      <c r="B8" s="44"/>
      <c r="C8" s="44"/>
      <c r="D8" s="44"/>
      <c r="E8" s="44"/>
      <c r="F8" s="44"/>
      <c r="G8" s="44"/>
      <c r="H8" s="44"/>
      <c r="I8" s="44"/>
      <c r="J8" s="72"/>
      <c r="K8" s="72"/>
      <c r="L8" s="72"/>
      <c r="M8" s="44"/>
      <c r="N8" s="73" t="s">
        <v>216</v>
      </c>
      <c r="O8" s="74">
        <f>O5/(O6+O7)</f>
        <v>2.1027334409272586E-2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169415000</v>
      </c>
      <c r="P9" s="44"/>
      <c r="Q9" s="44"/>
      <c r="R9" s="44"/>
    </row>
    <row r="10" spans="1:18" ht="22" customHeight="1" x14ac:dyDescent="0.2">
      <c r="A10" s="81" t="s">
        <v>237</v>
      </c>
      <c r="B10" s="82">
        <v>3199517000</v>
      </c>
      <c r="C10" s="82">
        <v>3936623000</v>
      </c>
      <c r="D10" s="82">
        <v>5295584000</v>
      </c>
      <c r="E10" s="83">
        <v>6179727000</v>
      </c>
      <c r="F10" s="82">
        <v>5560000000</v>
      </c>
      <c r="G10" s="82">
        <v>5780000000</v>
      </c>
      <c r="H10" s="82">
        <v>6075000000</v>
      </c>
      <c r="I10" s="82">
        <v>6700000000</v>
      </c>
      <c r="J10" s="83">
        <v>8320000000</v>
      </c>
      <c r="K10" s="84" t="s">
        <v>238</v>
      </c>
      <c r="L10" s="72"/>
      <c r="N10" s="56" t="s">
        <v>239</v>
      </c>
      <c r="O10" s="57">
        <f>Financials!Q24</f>
        <v>712710000</v>
      </c>
      <c r="P10" s="44"/>
      <c r="Q10" s="44"/>
      <c r="R10" s="44"/>
    </row>
    <row r="11" spans="1:18" ht="22" customHeight="1" x14ac:dyDescent="0.2">
      <c r="A11" s="85"/>
      <c r="B11" s="86"/>
      <c r="C11" s="86">
        <f t="shared" ref="C11:J11" si="0">(C10/B10)-1</f>
        <v>0.23038039804132926</v>
      </c>
      <c r="D11" s="86">
        <f t="shared" si="0"/>
        <v>0.34520984102363883</v>
      </c>
      <c r="E11" s="86">
        <f t="shared" si="0"/>
        <v>0.16695854508209096</v>
      </c>
      <c r="F11" s="87">
        <f t="shared" si="0"/>
        <v>-0.10028387985423948</v>
      </c>
      <c r="G11" s="86">
        <f t="shared" si="0"/>
        <v>3.9568345323740983E-2</v>
      </c>
      <c r="H11" s="86">
        <f t="shared" si="0"/>
        <v>5.1038062283736974E-2</v>
      </c>
      <c r="I11" s="86">
        <f t="shared" si="0"/>
        <v>0.10288065843621408</v>
      </c>
      <c r="J11" s="88">
        <f t="shared" si="0"/>
        <v>0.24179104477611935</v>
      </c>
      <c r="K11" s="88">
        <f>AVERAGE(F11:J11)</f>
        <v>6.6998846193114386E-2</v>
      </c>
      <c r="L11" s="72"/>
      <c r="M11" s="72"/>
      <c r="N11" s="56" t="s">
        <v>240</v>
      </c>
      <c r="O11" s="89">
        <f>O9/O10</f>
        <v>0.23770537806400921</v>
      </c>
      <c r="P11" s="44"/>
      <c r="Q11" s="44"/>
      <c r="R11" s="44"/>
    </row>
    <row r="12" spans="1:18" ht="22" customHeight="1" x14ac:dyDescent="0.2">
      <c r="A12" s="81" t="s">
        <v>144</v>
      </c>
      <c r="B12" s="82">
        <v>261575000</v>
      </c>
      <c r="C12" s="82">
        <v>366738000</v>
      </c>
      <c r="D12" s="82">
        <v>650624000</v>
      </c>
      <c r="E12" s="82">
        <v>748462000</v>
      </c>
      <c r="F12" s="90">
        <v>517000000</v>
      </c>
      <c r="G12" s="82">
        <v>553000000</v>
      </c>
      <c r="H12" s="82">
        <v>630000000</v>
      </c>
      <c r="I12" s="82">
        <v>652000000</v>
      </c>
      <c r="J12" s="83">
        <v>920000000</v>
      </c>
      <c r="K12" s="91" t="s">
        <v>241</v>
      </c>
      <c r="L12" s="72"/>
      <c r="M12" s="72"/>
      <c r="N12" s="56" t="s">
        <v>242</v>
      </c>
      <c r="O12" s="89">
        <f>O8*(1-O11)</f>
        <v>1.6029023933838094E-2</v>
      </c>
      <c r="P12" s="44"/>
      <c r="Q12" s="44"/>
      <c r="R12" s="44"/>
    </row>
    <row r="13" spans="1:18" ht="22" customHeight="1" x14ac:dyDescent="0.2">
      <c r="A13" s="85"/>
      <c r="B13" s="86"/>
      <c r="C13" s="86">
        <f t="shared" ref="C13:J13" si="1">(C12/B12)-1</f>
        <v>0.4020376565038708</v>
      </c>
      <c r="D13" s="86">
        <f t="shared" si="1"/>
        <v>0.77408395094045335</v>
      </c>
      <c r="E13" s="86">
        <f t="shared" si="1"/>
        <v>0.15037563938618925</v>
      </c>
      <c r="F13" s="87">
        <f t="shared" si="1"/>
        <v>-0.30925016901325653</v>
      </c>
      <c r="G13" s="86">
        <f t="shared" si="1"/>
        <v>6.9632495164410058E-2</v>
      </c>
      <c r="H13" s="86">
        <f t="shared" si="1"/>
        <v>0.139240506329114</v>
      </c>
      <c r="I13" s="86">
        <f t="shared" si="1"/>
        <v>3.4920634920635019E-2</v>
      </c>
      <c r="J13" s="88">
        <f t="shared" si="1"/>
        <v>0.41104294478527614</v>
      </c>
      <c r="K13" s="88">
        <f>AVERAGE(F13:J13)</f>
        <v>6.9117282437235736E-2</v>
      </c>
      <c r="L13" s="72"/>
      <c r="M13" s="72"/>
      <c r="N13" s="118" t="s">
        <v>243</v>
      </c>
      <c r="O13" s="119"/>
      <c r="P13" s="44"/>
      <c r="Q13" s="44"/>
      <c r="R13" s="44"/>
    </row>
    <row r="14" spans="1:18" ht="22" customHeight="1" x14ac:dyDescent="0.2">
      <c r="A14" s="92" t="s">
        <v>244</v>
      </c>
      <c r="B14" s="93">
        <f>B12/B10</f>
        <v>8.1754527323967957E-2</v>
      </c>
      <c r="C14" s="93">
        <f t="shared" ref="C14:J14" si="2">C12/C10</f>
        <v>9.3160559189945286E-2</v>
      </c>
      <c r="D14" s="93">
        <f t="shared" si="2"/>
        <v>0.12286161450748397</v>
      </c>
      <c r="E14" s="93">
        <f t="shared" si="2"/>
        <v>0.12111570624398132</v>
      </c>
      <c r="F14" s="94">
        <f t="shared" si="2"/>
        <v>9.2985611510791363E-2</v>
      </c>
      <c r="G14" s="93">
        <f t="shared" si="2"/>
        <v>9.5674740484429061E-2</v>
      </c>
      <c r="H14" s="93">
        <f t="shared" si="2"/>
        <v>0.1037037037037037</v>
      </c>
      <c r="I14" s="93">
        <f t="shared" si="2"/>
        <v>9.731343283582089E-2</v>
      </c>
      <c r="J14" s="95">
        <f t="shared" si="2"/>
        <v>0.11057692307692307</v>
      </c>
      <c r="K14" s="95"/>
      <c r="L14" s="72"/>
      <c r="M14" s="72"/>
      <c r="N14" s="56" t="s">
        <v>245</v>
      </c>
      <c r="O14" s="89">
        <f>'[1]US Treasury Bonds'!$C$8</f>
        <v>4.1210000000000004E-2</v>
      </c>
      <c r="P14" s="44"/>
      <c r="Q14" s="44"/>
      <c r="R14" s="44"/>
    </row>
    <row r="15" spans="1:18" ht="22" customHeight="1" x14ac:dyDescent="0.2">
      <c r="A15" s="81" t="s">
        <v>187</v>
      </c>
      <c r="B15" s="82">
        <v>284980744</v>
      </c>
      <c r="C15" s="82">
        <v>385900986</v>
      </c>
      <c r="D15" s="82">
        <v>282649037</v>
      </c>
      <c r="E15" s="82">
        <v>472311005</v>
      </c>
      <c r="F15" s="90">
        <v>742000000</v>
      </c>
      <c r="G15" s="82">
        <v>577000000</v>
      </c>
      <c r="H15" s="82">
        <v>623000000</v>
      </c>
      <c r="I15" s="82">
        <v>604000000</v>
      </c>
      <c r="J15" s="83">
        <v>800000000</v>
      </c>
      <c r="K15" s="91" t="s">
        <v>246</v>
      </c>
      <c r="L15" s="72"/>
      <c r="M15" s="72"/>
      <c r="N15" s="56" t="s">
        <v>247</v>
      </c>
      <c r="O15" s="96">
        <f>1.33</f>
        <v>1.33</v>
      </c>
      <c r="P15" s="44"/>
      <c r="Q15" s="44"/>
      <c r="R15" s="44"/>
    </row>
    <row r="16" spans="1:18" ht="22" customHeight="1" x14ac:dyDescent="0.2">
      <c r="A16" s="97"/>
      <c r="B16" s="86"/>
      <c r="C16" s="86">
        <f t="shared" ref="C16:J16" si="3">(C15/B15)-1</f>
        <v>0.35413003904572582</v>
      </c>
      <c r="D16" s="86">
        <f t="shared" si="3"/>
        <v>-0.26756072864763292</v>
      </c>
      <c r="E16" s="86">
        <f t="shared" si="3"/>
        <v>0.67101579404991929</v>
      </c>
      <c r="F16" s="87">
        <f t="shared" si="3"/>
        <v>0.57099875324734395</v>
      </c>
      <c r="G16" s="86">
        <f t="shared" si="3"/>
        <v>-0.22237196765498657</v>
      </c>
      <c r="H16" s="86">
        <f t="shared" si="3"/>
        <v>7.9722703639514725E-2</v>
      </c>
      <c r="I16" s="86">
        <f t="shared" si="3"/>
        <v>-3.04975922953451E-2</v>
      </c>
      <c r="J16" s="88">
        <f t="shared" si="3"/>
        <v>0.32450331125827825</v>
      </c>
      <c r="K16" s="88">
        <f>AVERAGE(F16:J16)</f>
        <v>0.14447104163896105</v>
      </c>
      <c r="L16" s="72"/>
      <c r="M16" s="72"/>
      <c r="N16" s="56" t="s">
        <v>248</v>
      </c>
      <c r="O16" s="89">
        <v>8.4000000000000005E-2</v>
      </c>
      <c r="P16" s="44"/>
      <c r="Q16" s="44"/>
      <c r="R16" s="44"/>
    </row>
    <row r="17" spans="1:18" ht="22" customHeight="1" x14ac:dyDescent="0.2">
      <c r="A17" s="92" t="s">
        <v>202</v>
      </c>
      <c r="B17" s="93">
        <f>B15/B10</f>
        <v>8.9069926492029897E-2</v>
      </c>
      <c r="C17" s="93">
        <f t="shared" ref="C17:J17" si="4">C15/C10</f>
        <v>9.8028433507602833E-2</v>
      </c>
      <c r="D17" s="93">
        <f t="shared" si="4"/>
        <v>5.3374478999861016E-2</v>
      </c>
      <c r="E17" s="95">
        <f t="shared" si="4"/>
        <v>7.6429105201572825E-2</v>
      </c>
      <c r="F17" s="93">
        <f t="shared" si="4"/>
        <v>0.13345323741007195</v>
      </c>
      <c r="G17" s="93">
        <f t="shared" si="4"/>
        <v>9.9826989619377166E-2</v>
      </c>
      <c r="H17" s="93">
        <f t="shared" si="4"/>
        <v>0.1025514403292181</v>
      </c>
      <c r="I17" s="93">
        <f t="shared" si="4"/>
        <v>9.014925373134329E-2</v>
      </c>
      <c r="J17" s="95">
        <f t="shared" si="4"/>
        <v>9.6153846153846159E-2</v>
      </c>
      <c r="K17" s="95"/>
      <c r="L17" s="72"/>
      <c r="M17" s="72"/>
      <c r="N17" s="98" t="s">
        <v>243</v>
      </c>
      <c r="O17" s="99">
        <f>(O14)+((O15)*(O16-O14))</f>
        <v>9.8120700000000005E-2</v>
      </c>
      <c r="P17" s="44"/>
      <c r="Q17" s="44"/>
      <c r="R17" s="44"/>
    </row>
    <row r="18" spans="1:18" ht="22" customHeight="1" x14ac:dyDescent="0.2">
      <c r="A18" s="100" t="s">
        <v>198</v>
      </c>
      <c r="B18" s="101">
        <v>0.23268422669971142</v>
      </c>
      <c r="C18" s="101">
        <v>0.27960558343208192</v>
      </c>
      <c r="D18" s="101">
        <v>0.24916772435030482</v>
      </c>
      <c r="E18" s="101">
        <v>0.26565338487074841</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1332789000</v>
      </c>
      <c r="P19" s="44"/>
      <c r="Q19" s="44"/>
      <c r="R19" s="44"/>
    </row>
    <row r="20" spans="1:18" ht="22" customHeight="1" x14ac:dyDescent="0.2">
      <c r="B20" s="106"/>
      <c r="C20" s="106"/>
      <c r="D20" s="106"/>
      <c r="E20" s="106"/>
      <c r="F20" s="72"/>
      <c r="G20" s="72"/>
      <c r="H20" s="72"/>
      <c r="I20" s="72"/>
      <c r="J20" s="72"/>
      <c r="K20" s="72"/>
      <c r="L20" s="72"/>
      <c r="M20" s="72"/>
      <c r="N20" s="56" t="s">
        <v>203</v>
      </c>
      <c r="O20" s="105">
        <f>A3</f>
        <v>13697067680</v>
      </c>
      <c r="P20" s="44"/>
      <c r="Q20" s="44"/>
      <c r="R20" s="44"/>
    </row>
    <row r="21" spans="1:18" ht="22" customHeight="1" x14ac:dyDescent="0.2">
      <c r="A21" s="120" t="str" cm="1">
        <f t="array" ref="A21">_FV(A1,"Industry")</f>
        <v>Leisure Products</v>
      </c>
      <c r="B21" s="120"/>
      <c r="C21" s="120"/>
      <c r="D21" s="121" cm="1">
        <f t="array" ref="D21">_FV(A1,"Year incorporated",TRUE)</f>
        <v>1993</v>
      </c>
      <c r="E21" s="121"/>
      <c r="F21" s="72"/>
      <c r="G21" s="72"/>
      <c r="H21" s="72"/>
      <c r="I21" s="72"/>
      <c r="J21" s="72"/>
      <c r="K21" s="72"/>
      <c r="M21" s="72"/>
      <c r="N21" s="56" t="s">
        <v>251</v>
      </c>
      <c r="O21" s="105">
        <f>O19+O20</f>
        <v>15029856680</v>
      </c>
      <c r="P21" s="44"/>
      <c r="Q21" s="44"/>
      <c r="R21" s="44"/>
    </row>
    <row r="22" spans="1:18" ht="22" customHeight="1" x14ac:dyDescent="0.2">
      <c r="A22" s="109" t="str" cm="1">
        <f t="array" ref="A22">_FV(A1,"Description")</f>
        <v>Pool Corporation is a wholesale distributor of swimming pool supplies, equipment and related leisure products. The Company also distributes irrigation and landscape products in the United States. The Company operates approximately 420 sales centers in North America, Europe and Australia through its five distribution networks: SCP Distributors (SCP), Superior Pool Products (Superior), Horizon Distributors (Horizon), National Pool Tile (NPT) and Sun Wholesale Supply, Inc. (Sun Wholesale). The Company distributes swimming pool tile, decking materials and interior pool surfacing products through its NPT network, as well as through SCP and Superior networks.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c>
      <c r="B22" s="109"/>
      <c r="C22" s="109"/>
      <c r="D22" s="109"/>
      <c r="E22" s="109"/>
      <c r="F22" s="72"/>
      <c r="G22" s="72"/>
      <c r="H22" s="72"/>
      <c r="I22" s="72"/>
      <c r="J22" s="72"/>
      <c r="K22" s="72"/>
      <c r="L22" s="72"/>
      <c r="M22" s="72"/>
      <c r="N22" s="73" t="s">
        <v>252</v>
      </c>
      <c r="O22" s="107">
        <f>(O19/O21)</f>
        <v>8.8676095080369055E-2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0.91132390491963089</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9.0841130727850175E-2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POOL/explorer/revenue_proj" xr:uid="{C171765D-A6FB-C447-99B0-3FDF879D57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2023-12-09T12:26:09Z</dcterms:modified>
</cp:coreProperties>
</file>