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65AFD332-018E-9F46-99FB-AEE3204D875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3" i="2"/>
  <c r="K16" i="2"/>
  <c r="F36" i="1"/>
  <c r="O10" i="2" l="1"/>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O11" i="2"/>
  <c r="O19" i="2"/>
  <c r="K5" i="2" a="1"/>
  <c r="K5" i="2" s="1"/>
  <c r="A5" i="2" a="1"/>
  <c r="A5" i="2" s="1"/>
  <c r="K4" i="2" a="1"/>
  <c r="K4" i="2" s="1"/>
  <c r="A3" i="2" a="1"/>
  <c r="A3" i="2" s="1"/>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H12" i="1"/>
  <c r="G12" i="1"/>
  <c r="F12" i="1"/>
  <c r="E12" i="1"/>
  <c r="D12" i="1"/>
  <c r="C12" i="1"/>
  <c r="B12" i="1"/>
  <c r="J3" i="1"/>
  <c r="I3" i="1"/>
  <c r="H3" i="1"/>
  <c r="F3" i="1"/>
  <c r="E3" i="1"/>
  <c r="D3" i="1"/>
  <c r="C3" i="1"/>
  <c r="K3" i="2" l="1"/>
  <c r="E3" i="2"/>
  <c r="E4" i="2"/>
  <c r="E5" i="2"/>
  <c r="K11"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<sst xmlns="http://schemas.openxmlformats.org/spreadsheetml/2006/main" count="949" uniqueCount="244">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</sst>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2">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0" tint="-0.1499984740745262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right/>
      <top style="medium">
        <color theme="0" tint="-0.14999847407452621"/>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11" fillId="8" borderId="3" xfId="0" applyFont="1" applyFill="1" applyBorder="1" applyAlignment="1">
      <alignment horizontal="left" vertical="center"/>
    </xf>
    <xf numFmtId="164" fontId="11" fillId="8" borderId="3" xfId="0" applyNumberFormat="1" applyFont="1" applyFill="1" applyBorder="1"/>
    <xf numFmtId="9" fontId="11" fillId="8"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9" fontId="18" fillId="10" borderId="18" xfId="1" applyFont="1" applyFill="1" applyBorder="1" applyAlignment="1">
      <alignment horizontal="left" vertical="center" indent="1"/>
    </xf>
    <xf numFmtId="9" fontId="17" fillId="10" borderId="19"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6" xfId="0" applyFont="1" applyFill="1" applyBorder="1" applyAlignment="1">
      <alignment horizontal="right" vertical="center" indent="1"/>
    </xf>
    <xf numFmtId="0" fontId="13" fillId="9" borderId="2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2"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3"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0" fontId="12" fillId="12" borderId="11" xfId="0" applyFont="1" applyFill="1" applyBorder="1" applyAlignment="1">
      <alignment horizontal="left" vertical="center" indent="2"/>
    </xf>
    <xf numFmtId="10" fontId="12" fillId="12" borderId="22"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4" xfId="0" applyFont="1" applyFill="1" applyBorder="1" applyAlignment="1">
      <alignment horizontal="left" vertical="center" wrapText="1"/>
    </xf>
    <xf numFmtId="10" fontId="20" fillId="12" borderId="25" xfId="0" applyNumberFormat="1" applyFont="1" applyFill="1" applyBorder="1" applyAlignment="1">
      <alignment vertical="center"/>
    </xf>
    <xf numFmtId="9" fontId="13" fillId="10" borderId="24"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5"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5" xfId="0" applyNumberFormat="1" applyFont="1" applyFill="1" applyBorder="1" applyAlignment="1">
      <alignment horizontal="right" vertical="center"/>
    </xf>
    <xf numFmtId="0" fontId="1" fillId="11" borderId="27" xfId="0" applyFont="1" applyFill="1" applyBorder="1"/>
    <xf numFmtId="0" fontId="1" fillId="11" borderId="27" xfId="0" applyFont="1" applyFill="1" applyBorder="1" applyAlignment="1">
      <alignment vertical="center"/>
    </xf>
    <xf numFmtId="9" fontId="4" fillId="9" borderId="28" xfId="1" applyFont="1" applyFill="1" applyBorder="1" applyAlignment="1">
      <alignment horizontal="right" vertical="center" indent="1"/>
    </xf>
    <xf numFmtId="9" fontId="4" fillId="9" borderId="29" xfId="1" applyFont="1" applyFill="1" applyBorder="1" applyAlignment="1">
      <alignment horizontal="right" vertical="center" indent="1"/>
    </xf>
    <xf numFmtId="165" fontId="4" fillId="9" borderId="30" xfId="1" applyNumberFormat="1" applyFont="1" applyFill="1" applyBorder="1" applyAlignment="1">
      <alignment horizontal="right" vertical="center" indent="1"/>
    </xf>
    <xf numFmtId="9" fontId="4" fillId="9" borderId="30" xfId="1" applyFont="1" applyFill="1" applyBorder="1" applyAlignment="1">
      <alignment horizontal="right" vertical="center" indent="1"/>
    </xf>
    <xf numFmtId="164" fontId="4" fillId="9" borderId="28" xfId="0" applyNumberFormat="1" applyFont="1" applyFill="1" applyBorder="1" applyAlignment="1">
      <alignment horizontal="right" vertical="center" indent="1"/>
    </xf>
    <xf numFmtId="164" fontId="4" fillId="9" borderId="29" xfId="0" applyNumberFormat="1" applyFont="1" applyFill="1" applyBorder="1" applyAlignment="1">
      <alignment horizontal="right" vertical="center" indent="1"/>
    </xf>
    <xf numFmtId="165" fontId="4" fillId="9" borderId="29" xfId="1" applyNumberFormat="1" applyFont="1" applyFill="1" applyBorder="1" applyAlignment="1">
      <alignment horizontal="right" vertical="center" indent="1"/>
    </xf>
    <xf numFmtId="165" fontId="4" fillId="14" borderId="30" xfId="1" applyNumberFormat="1" applyFont="1" applyFill="1" applyBorder="1" applyAlignment="1">
      <alignment horizontal="right" vertical="center" indent="1"/>
    </xf>
    <xf numFmtId="165" fontId="4" fillId="9" borderId="31" xfId="1" applyNumberFormat="1" applyFont="1" applyFill="1" applyBorder="1" applyAlignment="1">
      <alignment horizontal="right" vertical="center" indent="1"/>
    </xf>
    <xf numFmtId="10" fontId="4" fillId="9" borderId="28" xfId="1" applyNumberFormat="1" applyFont="1" applyFill="1" applyBorder="1" applyAlignment="1">
      <alignment horizontal="right" vertical="center" indent="1"/>
    </xf>
    <xf numFmtId="166" fontId="4" fillId="9" borderId="31" xfId="0" applyNumberFormat="1" applyFont="1" applyFill="1" applyBorder="1" applyAlignment="1">
      <alignment horizontal="right" vertical="center" indent="1"/>
    </xf>
    <xf numFmtId="166" fontId="3" fillId="13" borderId="29" xfId="0" applyNumberFormat="1" applyFont="1" applyFill="1" applyBorder="1" applyAlignment="1">
      <alignment horizontal="right" vertical="center" indent="1"/>
    </xf>
    <xf numFmtId="9" fontId="3" fillId="13" borderId="30" xfId="1" applyFont="1" applyFill="1" applyBorder="1" applyAlignment="1">
      <alignment horizontal="right" vertical="center" indent="1"/>
    </xf>
    <xf numFmtId="0" fontId="12" fillId="11" borderId="1" xfId="0" applyFont="1" applyFill="1" applyBorder="1" applyAlignment="1">
      <alignment horizontal="left" vertical="center" wrapText="1" indent="3"/>
    </xf>
    <xf numFmtId="9" fontId="4" fillId="10" borderId="24" xfId="1" applyFont="1" applyFill="1" applyBorder="1" applyAlignment="1">
      <alignment horizontal="center" vertical="center"/>
    </xf>
    <xf numFmtId="9" fontId="4" fillId="10" borderId="25" xfId="1" applyFont="1" applyFill="1" applyBorder="1" applyAlignment="1">
      <alignment horizontal="center" vertical="center"/>
    </xf>
    <xf numFmtId="10" fontId="13" fillId="9" borderId="24" xfId="1" applyNumberFormat="1" applyFont="1" applyFill="1" applyBorder="1" applyAlignment="1">
      <alignment horizontal="center" vertical="center"/>
    </xf>
    <xf numFmtId="10" fontId="13" fillId="9" borderId="25"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4" fillId="11" borderId="1" xfId="0" applyFont="1" applyFill="1" applyBorder="1" applyAlignment="1">
      <alignment horizontal="left" vertical="center" indent="3"/>
    </xf>
    <xf numFmtId="0" fontId="4" fillId="11"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https://www.bing.com/financeapi/forcetrigger?t=bzwqf2&amp;q=XNAS%3aSYM&amp;form=skydnc</v>
    <v>Learn more on Bing</v>
  </rv>
  <rv s="1">
    <v>0</v>
    <v>SYMBOTIC INC. (XNAS:SYM)</v>
    <v>2</v>
    <v>3</v>
    <v>Finance</v>
    <v>4</v>
    <v>en-US</v>
    <v>bzwqf2</v>
    <v>268435456</v>
    <v>1</v>
    <v>Powered by Refinitiv</v>
    <v>64.14</v>
    <v>10.210100000000001</v>
    <v>-0.186</v>
    <v>2.2799999999999998</v>
    <v>4.7451E-2</v>
    <v>0.47</v>
    <v>9.3379999999999991E-3</v>
    <v>USD</v>
    <v>Symbotic Inc. is focused on artificial intelligence (AI)-enabled robotics automation technology for the supply chain. The Company is engaged in developing, commercializing, and deploying end-to-end technology solutions that improve supply chain operations. It automates the processing of pallets and cases in warehouses or distribution centers for some of the retail companies in the world. Its platform is based on an approach to connecting producers of goods to end users in a way that resolves the mismatches of quantity, timing and location that arise between the two, while reducing costs. It utilizes fully autonomous robots, collectively controlled by its AI. With its A.I.-powered robotic technology platform, it is changing the way consumer goods move through the supply chain. It serves various industries, including retail grocery, retail general merchandise, food wholesale, footwear and apparel, consumer packaged goods and food and beverage.</v>
    <v>1120</v>
    <v>Nasdaq Stock Market</v>
    <v>XNAS</v>
    <v>XNAS</v>
    <v>200 Research Drive, WILMINGTON, MA, 01887 US</v>
    <v>51.63</v>
    <v>Machinery, Equipment &amp; Components</v>
    <v>Stock</v>
    <v>45268.875007928124</v>
    <v>0</v>
    <v>47.24</v>
    <v>28038923528</v>
    <v>SYMBOTIC INC.</v>
    <v>SYMBOTIC INC.</v>
    <v>47.87</v>
    <v>48.05</v>
    <v>50.33</v>
    <v>50.8</v>
    <v>557101600</v>
    <v>SYM</v>
    <v>SYMBOTIC INC. (XNAS:SYM)</v>
    <v>970015</v>
    <v>1691321</v>
    <v>2022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YM%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M:SY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workbookViewId="0">
      <pane xSplit="1" topLeftCell="B1" activePane="topRight" state="frozen"/>
      <selection pane="topRight" activeCell="G23" sqref="G23"/>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3" t="s">
        <v>9</v>
      </c>
      <c r="B2" s="29">
        <v>100123000</v>
      </c>
      <c r="C2" s="29">
        <v>92086000</v>
      </c>
      <c r="D2" s="29">
        <v>251913000</v>
      </c>
      <c r="E2" s="29">
        <v>593312000</v>
      </c>
      <c r="F2" s="30">
        <v>1029415000</v>
      </c>
      <c r="G2" s="29">
        <v>244412000</v>
      </c>
      <c r="H2" s="29">
        <v>206312000</v>
      </c>
      <c r="I2" s="29">
        <v>266854000</v>
      </c>
      <c r="J2" s="29">
        <v>311837000</v>
      </c>
    </row>
    <row r="3" spans="1:10" ht="16" x14ac:dyDescent="0.2">
      <c r="A3" s="9" t="s">
        <v>182</v>
      </c>
      <c r="B3" s="10"/>
      <c r="C3" s="11">
        <f t="shared" ref="C3:J3" si="0">(C2/B2)-1</f>
        <v>-8.0271266342398895E-2</v>
      </c>
      <c r="D3" s="11">
        <f t="shared" si="0"/>
        <v>1.7356275655365638</v>
      </c>
      <c r="E3" s="11">
        <f t="shared" si="0"/>
        <v>1.3552258120859184</v>
      </c>
      <c r="F3" s="11">
        <f t="shared" si="0"/>
        <v>0.73503148427808651</v>
      </c>
      <c r="G3" s="11"/>
      <c r="H3" s="11">
        <f t="shared" si="0"/>
        <v>-0.15588432646514905</v>
      </c>
      <c r="I3" s="11">
        <f t="shared" si="0"/>
        <v>0.29344875722207142</v>
      </c>
      <c r="J3" s="11">
        <f t="shared" si="0"/>
        <v>0.16856783109865314</v>
      </c>
    </row>
    <row r="4" spans="1:10" ht="16" x14ac:dyDescent="0.2">
      <c r="A4" s="3" t="s">
        <v>10</v>
      </c>
      <c r="B4" s="4">
        <v>100123000</v>
      </c>
      <c r="C4" s="4">
        <v>92086000</v>
      </c>
      <c r="D4" s="4">
        <v>251913000</v>
      </c>
      <c r="E4" s="4">
        <v>593312000</v>
      </c>
      <c r="F4" s="5">
        <v>1029415000</v>
      </c>
      <c r="G4" s="4">
        <v>244412000</v>
      </c>
      <c r="H4" s="4">
        <v>206312000</v>
      </c>
      <c r="I4" s="4">
        <v>266854000</v>
      </c>
      <c r="J4" s="4">
        <v>311837000</v>
      </c>
    </row>
    <row r="5" spans="1:10" ht="16" x14ac:dyDescent="0.2">
      <c r="A5" s="3" t="s">
        <v>11</v>
      </c>
      <c r="B5" s="4">
        <v>120087000</v>
      </c>
      <c r="C5" s="4">
        <v>111016000</v>
      </c>
      <c r="D5" s="4">
        <v>241466000</v>
      </c>
      <c r="E5" s="4">
        <v>493665000</v>
      </c>
      <c r="F5" s="5">
        <v>861736000</v>
      </c>
      <c r="G5" s="4">
        <v>207683000</v>
      </c>
      <c r="H5" s="4">
        <v>171118000</v>
      </c>
      <c r="I5" s="4">
        <v>224007000</v>
      </c>
      <c r="J5" s="4">
        <v>258928000</v>
      </c>
    </row>
    <row r="6" spans="1:10" ht="16" x14ac:dyDescent="0.2">
      <c r="A6" s="3" t="s">
        <v>12</v>
      </c>
      <c r="B6" s="4">
        <v>120087000</v>
      </c>
      <c r="C6" s="4">
        <v>111016000</v>
      </c>
      <c r="D6" s="4">
        <v>241466000</v>
      </c>
      <c r="E6" s="4">
        <v>493665000</v>
      </c>
      <c r="F6" s="5">
        <v>861736000</v>
      </c>
      <c r="G6" s="4">
        <v>207683000</v>
      </c>
      <c r="H6" s="4">
        <v>171118000</v>
      </c>
      <c r="I6" s="4">
        <v>224007000</v>
      </c>
      <c r="J6" s="4">
        <v>258928000</v>
      </c>
    </row>
    <row r="7" spans="1:10" ht="16" x14ac:dyDescent="0.2">
      <c r="A7" s="33" t="s">
        <v>13</v>
      </c>
      <c r="B7" s="29">
        <v>-19964000</v>
      </c>
      <c r="C7" s="29">
        <v>-18930000</v>
      </c>
      <c r="D7" s="29">
        <v>10447000</v>
      </c>
      <c r="E7" s="29">
        <v>99647000</v>
      </c>
      <c r="F7" s="30">
        <v>167679000</v>
      </c>
      <c r="G7" s="29">
        <v>36729000</v>
      </c>
      <c r="H7" s="29">
        <v>35194000</v>
      </c>
      <c r="I7" s="29">
        <v>42847000</v>
      </c>
      <c r="J7" s="29">
        <v>52909000</v>
      </c>
    </row>
    <row r="8" spans="1:10" ht="16" x14ac:dyDescent="0.2">
      <c r="A8" s="28" t="s">
        <v>49</v>
      </c>
      <c r="B8" s="31">
        <v>-19.940000000000001</v>
      </c>
      <c r="C8" s="31">
        <v>-20.56</v>
      </c>
      <c r="D8" s="31">
        <v>4.1500000000000004</v>
      </c>
      <c r="E8" s="31">
        <v>16.8</v>
      </c>
      <c r="F8" s="32">
        <v>16.29</v>
      </c>
      <c r="G8" s="31">
        <v>15.03</v>
      </c>
      <c r="H8" s="31">
        <v>17.059999999999999</v>
      </c>
      <c r="I8" s="31">
        <v>16.059999999999999</v>
      </c>
      <c r="J8" s="31">
        <v>16.97</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85829000</v>
      </c>
      <c r="C10" s="4">
        <v>91447000</v>
      </c>
      <c r="D10" s="4">
        <v>132828000</v>
      </c>
      <c r="E10" s="4">
        <v>240022000</v>
      </c>
      <c r="F10" s="5">
        <v>391282000</v>
      </c>
      <c r="G10" s="4">
        <v>91037000</v>
      </c>
      <c r="H10" s="4">
        <v>104763000</v>
      </c>
      <c r="I10" s="4">
        <v>100564000</v>
      </c>
      <c r="J10" s="4">
        <v>94918000</v>
      </c>
    </row>
    <row r="11" spans="1:10" ht="16" x14ac:dyDescent="0.2">
      <c r="A11" s="28" t="s">
        <v>17</v>
      </c>
      <c r="B11" s="29">
        <v>36737000</v>
      </c>
      <c r="C11" s="29">
        <v>35586000</v>
      </c>
      <c r="D11" s="29">
        <v>59442000</v>
      </c>
      <c r="E11" s="29">
        <v>115881000</v>
      </c>
      <c r="F11" s="30">
        <v>198569000</v>
      </c>
      <c r="G11" s="29">
        <v>47575000</v>
      </c>
      <c r="H11" s="29">
        <v>54023000</v>
      </c>
      <c r="I11" s="29">
        <v>50898000</v>
      </c>
      <c r="J11" s="29">
        <v>46073000</v>
      </c>
    </row>
    <row r="12" spans="1:10" ht="16" x14ac:dyDescent="0.2">
      <c r="A12" s="12" t="s">
        <v>183</v>
      </c>
      <c r="B12" s="13">
        <f t="shared" ref="B12:J12" si="1">B11/B2</f>
        <v>0.36691869001128613</v>
      </c>
      <c r="C12" s="13">
        <f t="shared" si="1"/>
        <v>0.38644310752991767</v>
      </c>
      <c r="D12" s="13">
        <f t="shared" si="1"/>
        <v>0.23596241559586048</v>
      </c>
      <c r="E12" s="13">
        <f t="shared" si="1"/>
        <v>0.19531207863653524</v>
      </c>
      <c r="F12" s="13">
        <f t="shared" si="1"/>
        <v>0.19289499375859104</v>
      </c>
      <c r="G12" s="13">
        <f t="shared" si="1"/>
        <v>0.19465083547452661</v>
      </c>
      <c r="H12" s="13">
        <f t="shared" si="1"/>
        <v>0.26185098297723836</v>
      </c>
      <c r="I12" s="13">
        <f t="shared" si="1"/>
        <v>0.19073350970942912</v>
      </c>
      <c r="J12" s="13">
        <f t="shared" si="1"/>
        <v>0.14774706016284148</v>
      </c>
    </row>
    <row r="13" spans="1:10" ht="16" x14ac:dyDescent="0.2">
      <c r="A13" s="28" t="s">
        <v>18</v>
      </c>
      <c r="B13" s="29">
        <v>49092000</v>
      </c>
      <c r="C13" s="29">
        <v>55861000</v>
      </c>
      <c r="D13" s="29">
        <v>73386000</v>
      </c>
      <c r="E13" s="29">
        <v>124141000</v>
      </c>
      <c r="F13" s="30">
        <v>192713000</v>
      </c>
      <c r="G13" s="29">
        <v>43462000</v>
      </c>
      <c r="H13" s="29">
        <v>50740000</v>
      </c>
      <c r="I13" s="29">
        <v>49666000</v>
      </c>
      <c r="J13" s="29">
        <v>48845000</v>
      </c>
    </row>
    <row r="14" spans="1:10" ht="16" x14ac:dyDescent="0.2">
      <c r="A14" s="14" t="s">
        <v>184</v>
      </c>
      <c r="B14" s="15">
        <f t="shared" ref="B14:J14" si="2">B13/B2</f>
        <v>0.49031691020045343</v>
      </c>
      <c r="C14" s="15">
        <f t="shared" si="2"/>
        <v>0.60661772690745608</v>
      </c>
      <c r="D14" s="15">
        <f t="shared" si="2"/>
        <v>0.29131485870121826</v>
      </c>
      <c r="E14" s="15">
        <f t="shared" si="2"/>
        <v>0.20923392751200043</v>
      </c>
      <c r="F14" s="15">
        <f t="shared" si="2"/>
        <v>0.18720632592297567</v>
      </c>
      <c r="G14" s="15">
        <f t="shared" si="2"/>
        <v>0.17782269283013927</v>
      </c>
      <c r="H14" s="15">
        <f t="shared" si="2"/>
        <v>0.24593819070146186</v>
      </c>
      <c r="I14" s="15">
        <f t="shared" si="2"/>
        <v>0.18611675298103084</v>
      </c>
      <c r="J14" s="15">
        <f t="shared" si="2"/>
        <v>0.15663631961569666</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33" t="s">
        <v>20</v>
      </c>
      <c r="B16" s="29">
        <v>-105793000</v>
      </c>
      <c r="C16" s="29">
        <v>-110377000</v>
      </c>
      <c r="D16" s="29">
        <v>-122381000</v>
      </c>
      <c r="E16" s="29">
        <v>-140375000</v>
      </c>
      <c r="F16" s="30">
        <v>-223603000</v>
      </c>
      <c r="G16" s="29">
        <v>-54308000</v>
      </c>
      <c r="H16" s="29">
        <v>-69569000</v>
      </c>
      <c r="I16" s="29">
        <v>-57717000</v>
      </c>
      <c r="J16" s="29">
        <v>-42009000</v>
      </c>
    </row>
    <row r="17" spans="1:10" ht="16" x14ac:dyDescent="0.2">
      <c r="A17" s="28" t="s">
        <v>50</v>
      </c>
      <c r="B17" s="31">
        <v>-105.66</v>
      </c>
      <c r="C17" s="31">
        <v>-119.86</v>
      </c>
      <c r="D17" s="31">
        <v>-48.58</v>
      </c>
      <c r="E17" s="31">
        <v>-23.66</v>
      </c>
      <c r="F17" s="32">
        <v>-21.72</v>
      </c>
      <c r="G17" s="31">
        <v>-22.22</v>
      </c>
      <c r="H17" s="31">
        <v>-33.72</v>
      </c>
      <c r="I17" s="31">
        <v>-21.63</v>
      </c>
      <c r="J17" s="31">
        <v>-13.47</v>
      </c>
    </row>
    <row r="18" spans="1:10" ht="16" x14ac:dyDescent="0.2">
      <c r="A18" s="16" t="s">
        <v>185</v>
      </c>
      <c r="B18" s="17"/>
      <c r="C18" s="13">
        <f>(C16/B16)-1</f>
        <v>4.3329898953617052E-2</v>
      </c>
      <c r="D18" s="13">
        <f>(D16/C16)-1</f>
        <v>0.10875454125406558</v>
      </c>
      <c r="E18" s="13">
        <f>(E16/D16)-1</f>
        <v>0.14703262761376368</v>
      </c>
      <c r="F18" s="13">
        <f t="shared" ref="F18:J18" si="3">(F16/E16)-1</f>
        <v>0.59289759572573475</v>
      </c>
      <c r="G18" s="13"/>
      <c r="H18" s="13">
        <f t="shared" si="3"/>
        <v>0.28100832289902034</v>
      </c>
      <c r="I18" s="13">
        <f t="shared" si="3"/>
        <v>-0.17036323649901541</v>
      </c>
      <c r="J18" s="13">
        <f t="shared" si="3"/>
        <v>-0.27215551743853628</v>
      </c>
    </row>
    <row r="19" spans="1:10" ht="16" x14ac:dyDescent="0.2">
      <c r="A19" s="3" t="s">
        <v>21</v>
      </c>
      <c r="B19" s="4">
        <v>-1432000</v>
      </c>
      <c r="C19" s="4">
        <v>-809000</v>
      </c>
      <c r="D19" s="4">
        <v>-67000</v>
      </c>
      <c r="E19" s="4">
        <v>-1286000</v>
      </c>
      <c r="F19" s="5">
        <v>-8105000</v>
      </c>
      <c r="G19" s="4">
        <v>-1050000</v>
      </c>
      <c r="H19" s="4">
        <v>-1834000</v>
      </c>
      <c r="I19" s="4">
        <v>-2284000</v>
      </c>
      <c r="J19" s="4">
        <v>-2937000</v>
      </c>
    </row>
    <row r="20" spans="1:10" ht="16" x14ac:dyDescent="0.2">
      <c r="A20" s="3" t="s">
        <v>22</v>
      </c>
      <c r="B20" s="4" t="s">
        <v>15</v>
      </c>
      <c r="C20" s="4" t="s">
        <v>15</v>
      </c>
      <c r="D20" s="4" t="s">
        <v>15</v>
      </c>
      <c r="E20" s="4" t="s">
        <v>15</v>
      </c>
      <c r="F20" s="5">
        <v>10</v>
      </c>
      <c r="G20" s="4" t="s">
        <v>15</v>
      </c>
      <c r="H20" s="4" t="s">
        <v>15</v>
      </c>
      <c r="I20" s="4" t="s">
        <v>15</v>
      </c>
      <c r="J20" s="4" t="s">
        <v>15</v>
      </c>
    </row>
    <row r="21" spans="1:10" ht="16" x14ac:dyDescent="0.2">
      <c r="A21" s="3" t="s">
        <v>23</v>
      </c>
      <c r="B21" s="4" t="s">
        <v>15</v>
      </c>
      <c r="C21" s="4" t="s">
        <v>15</v>
      </c>
      <c r="D21" s="4" t="s">
        <v>15</v>
      </c>
      <c r="E21" s="4" t="s">
        <v>15</v>
      </c>
      <c r="F21" s="5" t="s">
        <v>15</v>
      </c>
      <c r="G21" s="4" t="s">
        <v>15</v>
      </c>
      <c r="H21" s="4" t="s">
        <v>15</v>
      </c>
      <c r="I21" s="4" t="s">
        <v>15</v>
      </c>
      <c r="J21" s="4" t="s">
        <v>15</v>
      </c>
    </row>
    <row r="22" spans="1:10" ht="16" x14ac:dyDescent="0.2">
      <c r="A22" s="3" t="s">
        <v>24</v>
      </c>
      <c r="B22" s="4" t="s">
        <v>15</v>
      </c>
      <c r="C22" s="4" t="s">
        <v>15</v>
      </c>
      <c r="D22" s="4" t="s">
        <v>15</v>
      </c>
      <c r="E22" s="4" t="s">
        <v>15</v>
      </c>
      <c r="F22" s="5" t="s">
        <v>15</v>
      </c>
      <c r="G22" s="4" t="s">
        <v>15</v>
      </c>
      <c r="H22" s="4" t="s">
        <v>15</v>
      </c>
      <c r="I22" s="4" t="s">
        <v>15</v>
      </c>
      <c r="J22" s="4" t="s">
        <v>15</v>
      </c>
    </row>
    <row r="23" spans="1:10" ht="16" x14ac:dyDescent="0.2">
      <c r="A23" s="3" t="s">
        <v>25</v>
      </c>
      <c r="B23" s="4">
        <v>-1432000</v>
      </c>
      <c r="C23" s="4">
        <v>-809000</v>
      </c>
      <c r="D23" s="4">
        <v>-67000</v>
      </c>
      <c r="E23" s="4">
        <v>-1286000</v>
      </c>
      <c r="F23" s="5">
        <v>-8105000</v>
      </c>
      <c r="G23" s="4">
        <v>-1050000</v>
      </c>
      <c r="H23" s="4">
        <v>-1834000</v>
      </c>
      <c r="I23" s="4">
        <v>-2284000</v>
      </c>
      <c r="J23" s="4">
        <v>-2937000</v>
      </c>
    </row>
    <row r="24" spans="1:10" ht="16" x14ac:dyDescent="0.2">
      <c r="A24" s="3" t="s">
        <v>26</v>
      </c>
      <c r="B24" s="4">
        <v>-104361000</v>
      </c>
      <c r="C24" s="4">
        <v>-109568000</v>
      </c>
      <c r="D24" s="4">
        <v>-122314000</v>
      </c>
      <c r="E24" s="4">
        <v>-139089000</v>
      </c>
      <c r="F24" s="5">
        <v>-215498000</v>
      </c>
      <c r="G24" s="4">
        <v>-53258000</v>
      </c>
      <c r="H24" s="4">
        <v>-67735000</v>
      </c>
      <c r="I24" s="4">
        <v>-55433000</v>
      </c>
      <c r="J24" s="4">
        <v>-39072000</v>
      </c>
    </row>
    <row r="25" spans="1:10" ht="16" x14ac:dyDescent="0.2">
      <c r="A25" s="3" t="s">
        <v>27</v>
      </c>
      <c r="B25" s="4" t="s">
        <v>15</v>
      </c>
      <c r="C25" s="4">
        <v>-47000</v>
      </c>
      <c r="D25" s="4" t="s">
        <v>15</v>
      </c>
      <c r="E25" s="4" t="s">
        <v>15</v>
      </c>
      <c r="F25" s="5">
        <v>239000</v>
      </c>
      <c r="G25" s="4" t="s">
        <v>15</v>
      </c>
      <c r="H25" s="4">
        <v>251000</v>
      </c>
      <c r="I25" s="4">
        <v>-17000</v>
      </c>
      <c r="J25" s="4">
        <v>5000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-104361000</v>
      </c>
      <c r="C27" s="4">
        <v>-109521000</v>
      </c>
      <c r="D27" s="4">
        <v>-122314000</v>
      </c>
      <c r="E27" s="4">
        <v>-139089000</v>
      </c>
      <c r="F27" s="5">
        <v>-215737000</v>
      </c>
      <c r="G27" s="4">
        <v>-53258000</v>
      </c>
      <c r="H27" s="4">
        <v>-67986000</v>
      </c>
      <c r="I27" s="4">
        <v>-55416000</v>
      </c>
      <c r="J27" s="4">
        <v>-39077000</v>
      </c>
    </row>
    <row r="28" spans="1:10" ht="16" x14ac:dyDescent="0.2">
      <c r="A28" s="3" t="s">
        <v>30</v>
      </c>
      <c r="B28" s="4" t="s">
        <v>15</v>
      </c>
      <c r="C28" s="4" t="s">
        <v>15</v>
      </c>
      <c r="D28" s="4" t="s">
        <v>15</v>
      </c>
      <c r="E28" s="4">
        <v>-120184000</v>
      </c>
      <c r="F28" s="5">
        <v>-385060000</v>
      </c>
      <c r="G28" s="4">
        <v>-95418000</v>
      </c>
      <c r="H28" s="4">
        <v>-121586000</v>
      </c>
      <c r="I28" s="4">
        <v>-98596000</v>
      </c>
      <c r="J28" s="4">
        <v>-69460000</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v>-120184000</v>
      </c>
      <c r="F30" s="5">
        <v>-385060000</v>
      </c>
      <c r="G30" s="4">
        <v>-95418000</v>
      </c>
      <c r="H30" s="4">
        <v>-121586000</v>
      </c>
      <c r="I30" s="4">
        <v>-98596000</v>
      </c>
      <c r="J30" s="4">
        <v>-69460000</v>
      </c>
    </row>
    <row r="31" spans="1:10" ht="16" x14ac:dyDescent="0.2">
      <c r="A31" s="3" t="s">
        <v>33</v>
      </c>
      <c r="B31" s="4">
        <v>-104361000</v>
      </c>
      <c r="C31" s="4">
        <v>-109521000</v>
      </c>
      <c r="D31" s="4">
        <v>-122314000</v>
      </c>
      <c r="E31" s="4">
        <v>-18905000</v>
      </c>
      <c r="F31" s="5">
        <v>169323000</v>
      </c>
      <c r="G31" s="4">
        <v>42160000</v>
      </c>
      <c r="H31" s="4">
        <v>53600000</v>
      </c>
      <c r="I31" s="4">
        <v>43180000</v>
      </c>
      <c r="J31" s="4">
        <v>30383000</v>
      </c>
    </row>
    <row r="32" spans="1:10" ht="16" x14ac:dyDescent="0.2">
      <c r="A32" s="3" t="s">
        <v>34</v>
      </c>
      <c r="B32" s="4" t="s">
        <v>15</v>
      </c>
      <c r="C32" s="4" t="s">
        <v>15</v>
      </c>
      <c r="D32" s="4" t="s">
        <v>15</v>
      </c>
      <c r="E32" s="4">
        <v>60092000</v>
      </c>
      <c r="F32" s="5">
        <v>192530000</v>
      </c>
      <c r="G32" s="4">
        <v>47709000</v>
      </c>
      <c r="H32" s="4">
        <v>60793000</v>
      </c>
      <c r="I32" s="4">
        <v>49298000</v>
      </c>
      <c r="J32" s="4">
        <v>34730000</v>
      </c>
    </row>
    <row r="33" spans="1:10" ht="16" x14ac:dyDescent="0.2">
      <c r="A33" s="33" t="s">
        <v>35</v>
      </c>
      <c r="B33" s="29">
        <v>-104361000</v>
      </c>
      <c r="C33" s="29">
        <v>-109521000</v>
      </c>
      <c r="D33" s="29">
        <v>-122314000</v>
      </c>
      <c r="E33" s="29">
        <v>-78997000</v>
      </c>
      <c r="F33" s="30">
        <v>-23207000</v>
      </c>
      <c r="G33" s="29">
        <v>-5549000</v>
      </c>
      <c r="H33" s="29">
        <v>-7193000</v>
      </c>
      <c r="I33" s="29">
        <v>-6118000</v>
      </c>
      <c r="J33" s="29">
        <v>-4347000</v>
      </c>
    </row>
    <row r="34" spans="1:10" ht="16" x14ac:dyDescent="0.2">
      <c r="A34" s="28" t="s">
        <v>51</v>
      </c>
      <c r="B34" s="31">
        <v>-104.23</v>
      </c>
      <c r="C34" s="31">
        <v>-118.93</v>
      </c>
      <c r="D34" s="31">
        <v>-48.55</v>
      </c>
      <c r="E34" s="31">
        <v>-13.31</v>
      </c>
      <c r="F34" s="32">
        <v>-2.25</v>
      </c>
      <c r="G34" s="31">
        <v>-2.27</v>
      </c>
      <c r="H34" s="31">
        <v>-3.49</v>
      </c>
      <c r="I34" s="31">
        <v>-2.29</v>
      </c>
      <c r="J34" s="31">
        <v>-1.39</v>
      </c>
    </row>
    <row r="35" spans="1:10" ht="16" x14ac:dyDescent="0.2">
      <c r="A35" s="18" t="s">
        <v>186</v>
      </c>
      <c r="B35" s="19"/>
      <c r="C35" s="15">
        <f>(C33/B33)-1</f>
        <v>4.9443757725587067E-2</v>
      </c>
      <c r="D35" s="15">
        <f>(D33/C33)-1</f>
        <v>0.11680864856968065</v>
      </c>
      <c r="E35" s="15">
        <f>(E33/D33)-1</f>
        <v>-0.35414588681590009</v>
      </c>
      <c r="F35" s="15">
        <f t="shared" ref="F35:J35" si="4">(F33/E33)-1</f>
        <v>-0.70622935048166391</v>
      </c>
      <c r="G35" s="15"/>
      <c r="H35" s="15">
        <f t="shared" si="4"/>
        <v>0.29626959812578835</v>
      </c>
      <c r="I35" s="15">
        <f t="shared" si="4"/>
        <v>-0.14945085499791466</v>
      </c>
      <c r="J35" s="15">
        <f t="shared" si="4"/>
        <v>-0.28947368421052633</v>
      </c>
    </row>
    <row r="36" spans="1:10" ht="16" x14ac:dyDescent="0.2">
      <c r="A36" s="20" t="s">
        <v>187</v>
      </c>
      <c r="B36" s="21" t="e">
        <f t="shared" ref="B36:J36" si="5">(B16*(1-0.25))/(B126+B105+B96)</f>
        <v>#VALUE!</v>
      </c>
      <c r="C36" s="21">
        <f t="shared" si="5"/>
        <v>9.8029585525544513E-2</v>
      </c>
      <c r="D36" s="21">
        <f t="shared" si="5"/>
        <v>8.2450091086462077E-2</v>
      </c>
      <c r="E36" s="21">
        <f t="shared" si="5"/>
        <v>-1.5271431679721497</v>
      </c>
      <c r="F36" s="21">
        <f t="shared" si="5"/>
        <v>-7.752826831355395</v>
      </c>
      <c r="G36" s="21">
        <f t="shared" si="5"/>
        <v>-0.59081810269799828</v>
      </c>
      <c r="H36" s="21">
        <f t="shared" si="5"/>
        <v>-1.0372698898652142</v>
      </c>
      <c r="I36" s="21">
        <f t="shared" si="5"/>
        <v>-2.0189240240660418</v>
      </c>
      <c r="J36" s="21">
        <f t="shared" si="5"/>
        <v>-1.4565554065923905</v>
      </c>
    </row>
    <row r="37" spans="1:10" ht="16" x14ac:dyDescent="0.2">
      <c r="A37" s="3" t="s">
        <v>36</v>
      </c>
      <c r="B37" s="4">
        <v>25181000</v>
      </c>
      <c r="C37" s="4">
        <v>29565000</v>
      </c>
      <c r="D37" s="4">
        <v>32919000</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-129542000</v>
      </c>
      <c r="C39" s="4">
        <v>-139086000</v>
      </c>
      <c r="D39" s="4">
        <v>-155233000</v>
      </c>
      <c r="E39" s="4">
        <v>-78997000</v>
      </c>
      <c r="F39" s="5">
        <v>-23207000</v>
      </c>
      <c r="G39" s="4">
        <v>-5549000</v>
      </c>
      <c r="H39" s="4">
        <v>-7193000</v>
      </c>
      <c r="I39" s="4">
        <v>-6118000</v>
      </c>
      <c r="J39" s="4">
        <v>-4347000</v>
      </c>
    </row>
    <row r="40" spans="1:10" ht="16" x14ac:dyDescent="0.2">
      <c r="A40" s="3" t="s">
        <v>39</v>
      </c>
      <c r="B40" s="4">
        <v>50664000</v>
      </c>
      <c r="C40" s="4">
        <v>50664000</v>
      </c>
      <c r="D40" s="4">
        <v>50664000</v>
      </c>
      <c r="E40" s="4">
        <v>54086000</v>
      </c>
      <c r="F40" s="5">
        <v>61218750</v>
      </c>
      <c r="G40" s="4">
        <v>64353000</v>
      </c>
      <c r="H40" s="4">
        <v>58236000</v>
      </c>
      <c r="I40" s="4">
        <v>60503000</v>
      </c>
      <c r="J40" s="4">
        <v>61783000</v>
      </c>
    </row>
    <row r="41" spans="1:10" ht="16" x14ac:dyDescent="0.2">
      <c r="A41" s="3" t="s">
        <v>40</v>
      </c>
      <c r="B41" s="6">
        <v>-2.56</v>
      </c>
      <c r="C41" s="6">
        <v>-2.75</v>
      </c>
      <c r="D41" s="6">
        <v>-3.06</v>
      </c>
      <c r="E41" s="6">
        <v>-1.46</v>
      </c>
      <c r="F41" s="7">
        <v>-0.38</v>
      </c>
      <c r="G41" s="6">
        <v>-0.09</v>
      </c>
      <c r="H41" s="6">
        <v>-0.12</v>
      </c>
      <c r="I41" s="6">
        <v>-0.1</v>
      </c>
      <c r="J41" s="6">
        <v>-7.0000000000000007E-2</v>
      </c>
    </row>
    <row r="42" spans="1:10" ht="16" x14ac:dyDescent="0.2">
      <c r="A42" s="3" t="s">
        <v>41</v>
      </c>
      <c r="B42" s="6">
        <v>-2.06</v>
      </c>
      <c r="C42" s="6">
        <v>-2.16</v>
      </c>
      <c r="D42" s="6">
        <v>-2.41</v>
      </c>
      <c r="E42" s="6">
        <v>-2.57</v>
      </c>
      <c r="F42" s="7">
        <v>-3.52</v>
      </c>
      <c r="G42" s="6">
        <v>-0.83</v>
      </c>
      <c r="H42" s="6">
        <v>-1.17</v>
      </c>
      <c r="I42" s="6">
        <v>-0.92</v>
      </c>
      <c r="J42" s="6">
        <v>-0.63</v>
      </c>
    </row>
    <row r="43" spans="1:10" ht="16" x14ac:dyDescent="0.2">
      <c r="A43" s="3" t="s">
        <v>42</v>
      </c>
      <c r="B43" s="4">
        <v>50664000</v>
      </c>
      <c r="C43" s="4">
        <v>50664000</v>
      </c>
      <c r="D43" s="4">
        <v>50664000</v>
      </c>
      <c r="E43" s="4">
        <v>54086000</v>
      </c>
      <c r="F43" s="5">
        <v>61218750</v>
      </c>
      <c r="G43" s="4">
        <v>64353000</v>
      </c>
      <c r="H43" s="4">
        <v>58236000</v>
      </c>
      <c r="I43" s="4">
        <v>60503000</v>
      </c>
      <c r="J43" s="4">
        <v>61783000</v>
      </c>
    </row>
    <row r="44" spans="1:10" ht="16" x14ac:dyDescent="0.2">
      <c r="A44" s="3" t="s">
        <v>43</v>
      </c>
      <c r="B44" s="6">
        <v>-2.56</v>
      </c>
      <c r="C44" s="6">
        <v>-2.75</v>
      </c>
      <c r="D44" s="6">
        <v>-3.06</v>
      </c>
      <c r="E44" s="6">
        <v>-1.46</v>
      </c>
      <c r="F44" s="7">
        <v>-0.38</v>
      </c>
      <c r="G44" s="6">
        <v>-0.09</v>
      </c>
      <c r="H44" s="6">
        <v>-0.12</v>
      </c>
      <c r="I44" s="6">
        <v>-0.1</v>
      </c>
      <c r="J44" s="6">
        <v>-7.0000000000000007E-2</v>
      </c>
    </row>
    <row r="45" spans="1:10" ht="16" x14ac:dyDescent="0.2">
      <c r="A45" s="3" t="s">
        <v>44</v>
      </c>
      <c r="B45" s="6">
        <v>-2.06</v>
      </c>
      <c r="C45" s="6">
        <v>-2.16</v>
      </c>
      <c r="D45" s="6">
        <v>-2.41</v>
      </c>
      <c r="E45" s="6">
        <v>-2.57</v>
      </c>
      <c r="F45" s="7">
        <v>-3.52</v>
      </c>
      <c r="G45" s="6">
        <v>-0.83</v>
      </c>
      <c r="H45" s="6">
        <v>-1.17</v>
      </c>
      <c r="I45" s="6">
        <v>-0.92</v>
      </c>
      <c r="J45" s="6">
        <v>-0.63</v>
      </c>
    </row>
    <row r="46" spans="1:10" ht="16" x14ac:dyDescent="0.2">
      <c r="A46" s="3" t="s">
        <v>45</v>
      </c>
      <c r="B46" s="4">
        <v>-98440000</v>
      </c>
      <c r="C46" s="4">
        <v>-104643000</v>
      </c>
      <c r="D46" s="4">
        <v>-117890000</v>
      </c>
      <c r="E46" s="4">
        <v>-134386000</v>
      </c>
      <c r="F46" s="5">
        <v>-215208000</v>
      </c>
      <c r="G46" s="4">
        <v>-52519000</v>
      </c>
      <c r="H46" s="4">
        <v>-67492000</v>
      </c>
      <c r="I46" s="4">
        <v>-55648000</v>
      </c>
      <c r="J46" s="4">
        <v>-39549000</v>
      </c>
    </row>
    <row r="47" spans="1:10" ht="16" x14ac:dyDescent="0.2">
      <c r="A47" s="3" t="s">
        <v>46</v>
      </c>
      <c r="B47" s="6">
        <v>-98.32</v>
      </c>
      <c r="C47" s="6">
        <v>-113.64</v>
      </c>
      <c r="D47" s="6">
        <v>-46.8</v>
      </c>
      <c r="E47" s="6">
        <v>-22.65</v>
      </c>
      <c r="F47" s="7">
        <v>-20.91</v>
      </c>
      <c r="G47" s="6">
        <v>-22.65</v>
      </c>
      <c r="H47" s="6">
        <v>-24.93</v>
      </c>
      <c r="I47" s="6">
        <v>-23.21</v>
      </c>
      <c r="J47" s="6">
        <v>-20.91</v>
      </c>
    </row>
    <row r="48" spans="1:10" ht="16" x14ac:dyDescent="0.2">
      <c r="A48" s="3" t="s">
        <v>47</v>
      </c>
      <c r="B48" s="4">
        <v>-105793000</v>
      </c>
      <c r="C48" s="4">
        <v>-110377000</v>
      </c>
      <c r="D48" s="4">
        <v>-122381000</v>
      </c>
      <c r="E48" s="4">
        <v>-140375000</v>
      </c>
      <c r="F48" s="5">
        <v>-223603000</v>
      </c>
      <c r="G48" s="4">
        <v>-54308000</v>
      </c>
      <c r="H48" s="4">
        <v>-69569000</v>
      </c>
      <c r="I48" s="4">
        <v>-57717000</v>
      </c>
      <c r="J48" s="4">
        <v>-42009000</v>
      </c>
    </row>
    <row r="49" spans="1:10" ht="16" x14ac:dyDescent="0.2">
      <c r="A49" s="3" t="s">
        <v>48</v>
      </c>
      <c r="B49" s="4">
        <v>-105793000</v>
      </c>
      <c r="C49" s="4">
        <v>-110377000</v>
      </c>
      <c r="D49" s="4">
        <v>-122381000</v>
      </c>
      <c r="E49" s="4">
        <v>-140375000</v>
      </c>
      <c r="F49" s="5">
        <v>-223603000</v>
      </c>
      <c r="G49" s="4">
        <v>-54308000</v>
      </c>
      <c r="H49" s="4">
        <v>-69569000</v>
      </c>
      <c r="I49" s="4">
        <v>-57717000</v>
      </c>
      <c r="J49" s="4">
        <v>-42009000</v>
      </c>
    </row>
    <row r="50" spans="1:10" ht="16" x14ac:dyDescent="0.2">
      <c r="A50" s="3" t="s">
        <v>52</v>
      </c>
      <c r="B50" s="4" t="s">
        <v>15</v>
      </c>
      <c r="C50" s="4" t="s">
        <v>15</v>
      </c>
      <c r="D50" s="4" t="s">
        <v>15</v>
      </c>
      <c r="E50" s="4">
        <v>529743</v>
      </c>
      <c r="F50" s="5">
        <v>919121</v>
      </c>
      <c r="G50" s="4">
        <v>218225</v>
      </c>
      <c r="H50" s="4">
        <v>184207</v>
      </c>
      <c r="I50" s="4">
        <v>238263</v>
      </c>
      <c r="J50" s="4">
        <v>278426</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7353000</v>
      </c>
      <c r="C52" s="4">
        <v>5734000</v>
      </c>
      <c r="D52" s="4">
        <v>4491000</v>
      </c>
      <c r="E52" s="4">
        <v>5989000</v>
      </c>
      <c r="F52" s="5">
        <v>8395000</v>
      </c>
      <c r="G52" s="4">
        <v>1789000</v>
      </c>
      <c r="H52" s="4">
        <v>2077000</v>
      </c>
      <c r="I52" s="4">
        <v>2069000</v>
      </c>
      <c r="J52" s="4">
        <v>2460000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t="s">
        <v>15</v>
      </c>
      <c r="C55" s="4">
        <v>211526000</v>
      </c>
      <c r="D55" s="4">
        <v>260420000</v>
      </c>
      <c r="E55" s="4">
        <v>605398000</v>
      </c>
      <c r="F55" s="5">
        <v>921662000</v>
      </c>
      <c r="G55" s="4">
        <v>605398000</v>
      </c>
      <c r="H55" s="4">
        <v>772104000</v>
      </c>
      <c r="I55" s="4">
        <v>866400000</v>
      </c>
      <c r="J55" s="4">
        <v>921662000</v>
      </c>
    </row>
    <row r="56" spans="1:10" ht="16" x14ac:dyDescent="0.2">
      <c r="A56" s="3" t="s">
        <v>56</v>
      </c>
      <c r="B56" s="4" t="s">
        <v>15</v>
      </c>
      <c r="C56" s="4">
        <v>58264000</v>
      </c>
      <c r="D56" s="4">
        <v>156634000</v>
      </c>
      <c r="E56" s="4">
        <v>353457000</v>
      </c>
      <c r="F56" s="5">
        <v>510903000</v>
      </c>
      <c r="G56" s="4">
        <v>353457000</v>
      </c>
      <c r="H56" s="4">
        <v>447523000</v>
      </c>
      <c r="I56" s="4">
        <v>462449000</v>
      </c>
      <c r="J56" s="4">
        <v>510903000</v>
      </c>
    </row>
    <row r="57" spans="1:10" ht="16" x14ac:dyDescent="0.2">
      <c r="A57" s="3" t="s">
        <v>57</v>
      </c>
      <c r="B57" s="4" t="s">
        <v>15</v>
      </c>
      <c r="C57" s="4">
        <v>58264000</v>
      </c>
      <c r="D57" s="4">
        <v>156634000</v>
      </c>
      <c r="E57" s="4">
        <v>353457000</v>
      </c>
      <c r="F57" s="5">
        <v>255490000</v>
      </c>
      <c r="G57" s="4">
        <v>353457000</v>
      </c>
      <c r="H57" s="4">
        <v>350724000</v>
      </c>
      <c r="I57" s="4">
        <v>256954000</v>
      </c>
      <c r="J57" s="4">
        <v>255490000</v>
      </c>
    </row>
    <row r="58" spans="1:10" ht="16" x14ac:dyDescent="0.2">
      <c r="A58" s="3" t="s">
        <v>58</v>
      </c>
      <c r="B58" s="4" t="s">
        <v>15</v>
      </c>
      <c r="C58" s="4" t="s">
        <v>15</v>
      </c>
      <c r="D58" s="4" t="s">
        <v>15</v>
      </c>
      <c r="E58" s="4" t="s">
        <v>15</v>
      </c>
      <c r="F58" s="5">
        <v>255413000</v>
      </c>
      <c r="G58" s="4" t="s">
        <v>15</v>
      </c>
      <c r="H58" s="4">
        <v>96799000</v>
      </c>
      <c r="I58" s="4">
        <v>205495000</v>
      </c>
      <c r="J58" s="4">
        <v>255413000</v>
      </c>
    </row>
    <row r="59" spans="1:10" ht="16" x14ac:dyDescent="0.2">
      <c r="A59" s="3" t="s">
        <v>59</v>
      </c>
      <c r="B59" s="4" t="s">
        <v>15</v>
      </c>
      <c r="C59" s="4">
        <v>2489000</v>
      </c>
      <c r="D59" s="4">
        <v>63370000</v>
      </c>
      <c r="E59" s="4">
        <v>105228000</v>
      </c>
      <c r="F59" s="5">
        <v>165392000</v>
      </c>
      <c r="G59" s="4">
        <v>105228000</v>
      </c>
      <c r="H59" s="4">
        <v>146148000</v>
      </c>
      <c r="I59" s="4">
        <v>188027000</v>
      </c>
      <c r="J59" s="4">
        <v>165392000</v>
      </c>
    </row>
    <row r="60" spans="1:10" ht="16" x14ac:dyDescent="0.2">
      <c r="A60" s="3" t="s">
        <v>60</v>
      </c>
      <c r="B60" s="4" t="s">
        <v>15</v>
      </c>
      <c r="C60" s="4">
        <v>2489000</v>
      </c>
      <c r="D60" s="4">
        <v>63370000</v>
      </c>
      <c r="E60" s="4">
        <v>3412000</v>
      </c>
      <c r="F60" s="5">
        <v>73696000</v>
      </c>
      <c r="G60" s="4">
        <v>3412000</v>
      </c>
      <c r="H60" s="4">
        <v>52327000</v>
      </c>
      <c r="I60" s="4">
        <v>124525000</v>
      </c>
      <c r="J60" s="4">
        <v>73696000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v>101816000</v>
      </c>
      <c r="F63" s="5">
        <v>91696000</v>
      </c>
      <c r="G63" s="4">
        <v>101816000</v>
      </c>
      <c r="H63" s="4">
        <v>93821000</v>
      </c>
      <c r="I63" s="4">
        <v>63502000</v>
      </c>
      <c r="J63" s="4">
        <v>91696000</v>
      </c>
    </row>
    <row r="64" spans="1:10" ht="16" x14ac:dyDescent="0.2">
      <c r="A64" s="3" t="s">
        <v>64</v>
      </c>
      <c r="B64" s="4" t="s">
        <v>15</v>
      </c>
      <c r="C64" s="4">
        <v>16454000</v>
      </c>
      <c r="D64" s="4">
        <v>33561000</v>
      </c>
      <c r="E64" s="4">
        <v>91900000</v>
      </c>
      <c r="F64" s="5">
        <v>166877000</v>
      </c>
      <c r="G64" s="4">
        <v>91900000</v>
      </c>
      <c r="H64" s="4">
        <v>110914000</v>
      </c>
      <c r="I64" s="4">
        <v>140441000</v>
      </c>
      <c r="J64" s="4">
        <v>166877000</v>
      </c>
    </row>
    <row r="65" spans="1:10" ht="16" x14ac:dyDescent="0.2">
      <c r="A65" s="3" t="s">
        <v>65</v>
      </c>
      <c r="B65" s="4" t="s">
        <v>15</v>
      </c>
      <c r="C65" s="4">
        <v>16144000</v>
      </c>
      <c r="D65" s="4">
        <v>33065000</v>
      </c>
      <c r="E65" s="4">
        <v>88999000</v>
      </c>
      <c r="F65" s="5">
        <v>164569000</v>
      </c>
      <c r="G65" s="4">
        <v>88999000</v>
      </c>
      <c r="H65" s="4">
        <v>109907000</v>
      </c>
      <c r="I65" s="4">
        <v>127215000</v>
      </c>
      <c r="J65" s="4">
        <v>164569000</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v>310000</v>
      </c>
      <c r="D67" s="4">
        <v>496000</v>
      </c>
      <c r="E67" s="4">
        <v>2901000</v>
      </c>
      <c r="F67" s="5">
        <v>2308000</v>
      </c>
      <c r="G67" s="4">
        <v>2901000</v>
      </c>
      <c r="H67" s="4">
        <v>1007000</v>
      </c>
      <c r="I67" s="4">
        <v>13226000</v>
      </c>
      <c r="J67" s="4">
        <v>2308000</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t="s">
        <v>15</v>
      </c>
      <c r="C70" s="4">
        <v>134319000</v>
      </c>
      <c r="D70" s="4">
        <v>6855000</v>
      </c>
      <c r="E70" s="4">
        <v>54813000</v>
      </c>
      <c r="F70" s="5">
        <v>78490000</v>
      </c>
      <c r="G70" s="4">
        <v>54813000</v>
      </c>
      <c r="H70" s="4">
        <v>67519000</v>
      </c>
      <c r="I70" s="4">
        <v>75483000</v>
      </c>
      <c r="J70" s="4">
        <v>78490000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t="s">
        <v>15</v>
      </c>
      <c r="C76" s="4">
        <v>13427000</v>
      </c>
      <c r="D76" s="4">
        <v>20115000</v>
      </c>
      <c r="E76" s="4">
        <v>25865000</v>
      </c>
      <c r="F76" s="5">
        <v>48078000</v>
      </c>
      <c r="G76" s="4">
        <v>25865000</v>
      </c>
      <c r="H76" s="4">
        <v>36842000</v>
      </c>
      <c r="I76" s="4">
        <v>43129000</v>
      </c>
      <c r="J76" s="4">
        <v>48078000</v>
      </c>
    </row>
    <row r="77" spans="1:10" ht="16" x14ac:dyDescent="0.2">
      <c r="A77" s="3" t="s">
        <v>77</v>
      </c>
      <c r="B77" s="4" t="s">
        <v>15</v>
      </c>
      <c r="C77" s="4">
        <v>9186000</v>
      </c>
      <c r="D77" s="4">
        <v>18617000</v>
      </c>
      <c r="E77" s="4">
        <v>24878000</v>
      </c>
      <c r="F77" s="5">
        <v>40913000</v>
      </c>
      <c r="G77" s="4">
        <v>24878000</v>
      </c>
      <c r="H77" s="4">
        <v>30246000</v>
      </c>
      <c r="I77" s="4">
        <v>35539000</v>
      </c>
      <c r="J77" s="4">
        <v>40913000</v>
      </c>
    </row>
    <row r="78" spans="1:10" ht="16" x14ac:dyDescent="0.2">
      <c r="A78" s="3" t="s">
        <v>78</v>
      </c>
      <c r="B78" s="4" t="s">
        <v>15</v>
      </c>
      <c r="C78" s="4">
        <v>36001000</v>
      </c>
      <c r="D78" s="4">
        <v>37177000</v>
      </c>
      <c r="E78" s="4">
        <v>48722000</v>
      </c>
      <c r="F78" s="5">
        <v>69496000</v>
      </c>
      <c r="G78" s="4">
        <v>48722000</v>
      </c>
      <c r="H78" s="4">
        <v>55662000</v>
      </c>
      <c r="I78" s="4">
        <v>62439000</v>
      </c>
      <c r="J78" s="4">
        <v>69496000</v>
      </c>
    </row>
    <row r="79" spans="1:10" ht="16" x14ac:dyDescent="0.2">
      <c r="A79" s="3" t="s">
        <v>79</v>
      </c>
      <c r="B79" s="4" t="s">
        <v>15</v>
      </c>
      <c r="C79" s="4">
        <v>26815000</v>
      </c>
      <c r="D79" s="4">
        <v>18560000</v>
      </c>
      <c r="E79" s="4">
        <v>23844000</v>
      </c>
      <c r="F79" s="5">
        <v>28583000</v>
      </c>
      <c r="G79" s="4">
        <v>23844000</v>
      </c>
      <c r="H79" s="4">
        <v>25416000</v>
      </c>
      <c r="I79" s="4">
        <v>26900000</v>
      </c>
      <c r="J79" s="4">
        <v>28583000</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t="s">
        <v>15</v>
      </c>
      <c r="C83" s="4">
        <v>4241000</v>
      </c>
      <c r="D83" s="4">
        <v>1498000</v>
      </c>
      <c r="E83" s="4">
        <v>987000</v>
      </c>
      <c r="F83" s="5">
        <v>7165000</v>
      </c>
      <c r="G83" s="4">
        <v>987000</v>
      </c>
      <c r="H83" s="4">
        <v>6596000</v>
      </c>
      <c r="I83" s="4">
        <v>7590000</v>
      </c>
      <c r="J83" s="4">
        <v>7165000</v>
      </c>
    </row>
    <row r="84" spans="1:10" ht="16" x14ac:dyDescent="0.2">
      <c r="A84" s="3" t="s">
        <v>84</v>
      </c>
      <c r="B84" s="4" t="s">
        <v>15</v>
      </c>
      <c r="C84" s="4">
        <v>1540000</v>
      </c>
      <c r="D84" s="4">
        <v>1164000</v>
      </c>
      <c r="E84" s="4">
        <v>650000</v>
      </c>
      <c r="F84" s="5">
        <v>335000</v>
      </c>
      <c r="G84" s="4">
        <v>650000</v>
      </c>
      <c r="H84" s="4">
        <v>540000</v>
      </c>
      <c r="I84" s="4">
        <v>427000</v>
      </c>
      <c r="J84" s="4">
        <v>335000</v>
      </c>
    </row>
    <row r="85" spans="1:10" ht="16" x14ac:dyDescent="0.2">
      <c r="A85" s="3" t="s">
        <v>85</v>
      </c>
      <c r="B85" s="4" t="s">
        <v>15</v>
      </c>
      <c r="C85" s="4" t="s">
        <v>15</v>
      </c>
      <c r="D85" s="4" t="s">
        <v>15</v>
      </c>
      <c r="E85" s="4" t="s">
        <v>15</v>
      </c>
      <c r="F85" s="5" t="s">
        <v>15</v>
      </c>
      <c r="G85" s="4" t="s">
        <v>15</v>
      </c>
      <c r="H85" s="4" t="s">
        <v>15</v>
      </c>
      <c r="I85" s="4" t="s">
        <v>15</v>
      </c>
      <c r="J85" s="4" t="s">
        <v>15</v>
      </c>
    </row>
    <row r="86" spans="1:10" ht="16" x14ac:dyDescent="0.2">
      <c r="A86" s="3" t="s">
        <v>86</v>
      </c>
      <c r="B86" s="4" t="s">
        <v>15</v>
      </c>
      <c r="C86" s="4">
        <v>1540000</v>
      </c>
      <c r="D86" s="4">
        <v>1164000</v>
      </c>
      <c r="E86" s="4">
        <v>650000</v>
      </c>
      <c r="F86" s="5">
        <v>335000</v>
      </c>
      <c r="G86" s="4">
        <v>650000</v>
      </c>
      <c r="H86" s="4">
        <v>540000</v>
      </c>
      <c r="I86" s="4">
        <v>427000</v>
      </c>
      <c r="J86" s="4">
        <v>335000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t="s">
        <v>15</v>
      </c>
      <c r="C89" s="4">
        <v>2701000</v>
      </c>
      <c r="D89" s="4">
        <v>334000</v>
      </c>
      <c r="E89" s="4">
        <v>337000</v>
      </c>
      <c r="F89" s="5">
        <v>6830000</v>
      </c>
      <c r="G89" s="4">
        <v>337000</v>
      </c>
      <c r="H89" s="4">
        <v>6056000</v>
      </c>
      <c r="I89" s="4">
        <v>7163000</v>
      </c>
      <c r="J89" s="4">
        <v>6830000</v>
      </c>
    </row>
    <row r="90" spans="1:10" ht="16" x14ac:dyDescent="0.2">
      <c r="A90" s="3" t="s">
        <v>90</v>
      </c>
      <c r="B90" s="4" t="s">
        <v>15</v>
      </c>
      <c r="C90" s="4">
        <v>224953000</v>
      </c>
      <c r="D90" s="4">
        <v>280535000</v>
      </c>
      <c r="E90" s="4">
        <v>631263000</v>
      </c>
      <c r="F90" s="5">
        <v>969740000</v>
      </c>
      <c r="G90" s="4">
        <v>631263000</v>
      </c>
      <c r="H90" s="4">
        <v>808946000</v>
      </c>
      <c r="I90" s="4">
        <v>909529000</v>
      </c>
      <c r="J90" s="4">
        <v>969740000</v>
      </c>
    </row>
    <row r="91" spans="1:10" ht="16" x14ac:dyDescent="0.2">
      <c r="A91" s="3" t="s">
        <v>91</v>
      </c>
      <c r="B91" s="4" t="s">
        <v>15</v>
      </c>
      <c r="C91" s="4">
        <v>25781000</v>
      </c>
      <c r="D91" s="4">
        <v>77554000</v>
      </c>
      <c r="E91" s="4">
        <v>128713000</v>
      </c>
      <c r="F91" s="5">
        <v>155764000</v>
      </c>
      <c r="G91" s="4">
        <v>128713000</v>
      </c>
      <c r="H91" s="4">
        <v>155372000</v>
      </c>
      <c r="I91" s="4">
        <v>184386000</v>
      </c>
      <c r="J91" s="4">
        <v>155764000</v>
      </c>
    </row>
    <row r="92" spans="1:10" ht="16" x14ac:dyDescent="0.2">
      <c r="A92" s="3" t="s">
        <v>92</v>
      </c>
      <c r="B92" s="4" t="s">
        <v>15</v>
      </c>
      <c r="C92" s="4">
        <v>5962000</v>
      </c>
      <c r="D92" s="4">
        <v>28018000</v>
      </c>
      <c r="E92" s="4">
        <v>68448000</v>
      </c>
      <c r="F92" s="5">
        <v>74377000</v>
      </c>
      <c r="G92" s="4">
        <v>68448000</v>
      </c>
      <c r="H92" s="4">
        <v>60885000</v>
      </c>
      <c r="I92" s="4">
        <v>88139000</v>
      </c>
      <c r="J92" s="4">
        <v>74377000</v>
      </c>
    </row>
    <row r="93" spans="1:10" ht="16" x14ac:dyDescent="0.2">
      <c r="A93" s="3" t="s">
        <v>93</v>
      </c>
      <c r="B93" s="4" t="s">
        <v>15</v>
      </c>
      <c r="C93" s="4">
        <v>12076000</v>
      </c>
      <c r="D93" s="4">
        <v>18405000</v>
      </c>
      <c r="E93" s="4">
        <v>12953000</v>
      </c>
      <c r="F93" s="5">
        <v>20685000</v>
      </c>
      <c r="G93" s="4">
        <v>12953000</v>
      </c>
      <c r="H93" s="4">
        <v>21365000</v>
      </c>
      <c r="I93" s="4">
        <v>25720000</v>
      </c>
      <c r="J93" s="4">
        <v>20685000</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t="s">
        <v>15</v>
      </c>
      <c r="C95" s="4">
        <v>7743000</v>
      </c>
      <c r="D95" s="4">
        <v>31131000</v>
      </c>
      <c r="E95" s="4">
        <v>47312000</v>
      </c>
      <c r="F95" s="5">
        <v>60702000</v>
      </c>
      <c r="G95" s="4">
        <v>47312000</v>
      </c>
      <c r="H95" s="4">
        <v>73122000</v>
      </c>
      <c r="I95" s="4">
        <v>70527000</v>
      </c>
      <c r="J95" s="4">
        <v>60702000</v>
      </c>
    </row>
    <row r="96" spans="1:10" ht="16" x14ac:dyDescent="0.2">
      <c r="A96" s="3" t="s">
        <v>96</v>
      </c>
      <c r="B96" s="4">
        <v>0</v>
      </c>
      <c r="C96" s="4">
        <v>0</v>
      </c>
      <c r="D96" s="4">
        <v>0</v>
      </c>
      <c r="E96" s="4">
        <v>0</v>
      </c>
      <c r="F96" s="5">
        <v>10</v>
      </c>
      <c r="G96" s="4">
        <v>0</v>
      </c>
      <c r="H96" s="4">
        <v>0</v>
      </c>
      <c r="I96" s="4">
        <v>0</v>
      </c>
      <c r="J96" s="4">
        <v>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t="s">
        <v>15</v>
      </c>
      <c r="C98" s="4" t="s">
        <v>15</v>
      </c>
      <c r="D98" s="4" t="s">
        <v>15</v>
      </c>
      <c r="E98" s="4" t="s">
        <v>15</v>
      </c>
      <c r="F98" s="5" t="s">
        <v>15</v>
      </c>
      <c r="G98" s="4" t="s">
        <v>15</v>
      </c>
      <c r="H98" s="4" t="s">
        <v>15</v>
      </c>
      <c r="I98" s="4" t="s">
        <v>15</v>
      </c>
      <c r="J98" s="4" t="s">
        <v>15</v>
      </c>
    </row>
    <row r="99" spans="1:10" ht="16" x14ac:dyDescent="0.2">
      <c r="A99" s="3" t="s">
        <v>99</v>
      </c>
      <c r="B99" s="4" t="s">
        <v>15</v>
      </c>
      <c r="C99" s="4">
        <v>120779000</v>
      </c>
      <c r="D99" s="4">
        <v>259418000</v>
      </c>
      <c r="E99" s="4">
        <v>394244000</v>
      </c>
      <c r="F99" s="5">
        <v>742241000</v>
      </c>
      <c r="G99" s="4">
        <v>394244000</v>
      </c>
      <c r="H99" s="4">
        <v>580457000</v>
      </c>
      <c r="I99" s="4">
        <v>665440000</v>
      </c>
      <c r="J99" s="4">
        <v>742241000</v>
      </c>
    </row>
    <row r="100" spans="1:10" ht="16" x14ac:dyDescent="0.2">
      <c r="A100" s="3" t="s">
        <v>100</v>
      </c>
      <c r="B100" s="4" t="s">
        <v>15</v>
      </c>
      <c r="C100" s="4">
        <v>120779000</v>
      </c>
      <c r="D100" s="4">
        <v>259418000</v>
      </c>
      <c r="E100" s="4">
        <v>394244000</v>
      </c>
      <c r="F100" s="5">
        <v>742241000</v>
      </c>
      <c r="G100" s="4">
        <v>394244000</v>
      </c>
      <c r="H100" s="4">
        <v>580457000</v>
      </c>
      <c r="I100" s="4">
        <v>665440000</v>
      </c>
      <c r="J100" s="4">
        <v>742241000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t="s">
        <v>15</v>
      </c>
      <c r="C103" s="4" t="s">
        <v>15</v>
      </c>
      <c r="D103" s="4" t="s">
        <v>15</v>
      </c>
      <c r="E103" s="4" t="s">
        <v>15</v>
      </c>
      <c r="F103" s="5" t="s">
        <v>15</v>
      </c>
      <c r="G103" s="4" t="s">
        <v>15</v>
      </c>
      <c r="H103" s="4" t="s">
        <v>15</v>
      </c>
      <c r="I103" s="4" t="s">
        <v>15</v>
      </c>
      <c r="J103" s="4" t="s">
        <v>15</v>
      </c>
    </row>
    <row r="104" spans="1:10" ht="16" x14ac:dyDescent="0.2">
      <c r="A104" s="3" t="s">
        <v>104</v>
      </c>
      <c r="B104" s="4" t="s">
        <v>15</v>
      </c>
      <c r="C104" s="4">
        <v>146560000</v>
      </c>
      <c r="D104" s="4">
        <v>336972000</v>
      </c>
      <c r="E104" s="4">
        <v>522957000</v>
      </c>
      <c r="F104" s="5">
        <v>898005000</v>
      </c>
      <c r="G104" s="4">
        <v>522957000</v>
      </c>
      <c r="H104" s="4">
        <v>735829000</v>
      </c>
      <c r="I104" s="4">
        <v>849826000</v>
      </c>
      <c r="J104" s="4">
        <v>898005000</v>
      </c>
    </row>
    <row r="105" spans="1:10" ht="16" x14ac:dyDescent="0.2">
      <c r="A105" s="3" t="s">
        <v>105</v>
      </c>
      <c r="B105" s="4">
        <v>0</v>
      </c>
      <c r="C105" s="4">
        <v>0</v>
      </c>
      <c r="D105" s="4">
        <v>0</v>
      </c>
      <c r="E105" s="4">
        <v>0</v>
      </c>
      <c r="F105" s="5">
        <v>100</v>
      </c>
      <c r="G105" s="4">
        <v>0</v>
      </c>
      <c r="H105" s="4">
        <v>0</v>
      </c>
      <c r="I105" s="4">
        <v>0</v>
      </c>
      <c r="J105" s="4">
        <v>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t="s">
        <v>15</v>
      </c>
      <c r="C107" s="4" t="s">
        <v>15</v>
      </c>
      <c r="D107" s="4" t="s">
        <v>15</v>
      </c>
      <c r="E107" s="4" t="s">
        <v>15</v>
      </c>
      <c r="F107" s="5" t="s">
        <v>15</v>
      </c>
      <c r="G107" s="4" t="s">
        <v>15</v>
      </c>
      <c r="H107" s="4" t="s">
        <v>15</v>
      </c>
      <c r="I107" s="4" t="s">
        <v>15</v>
      </c>
      <c r="J107" s="4" t="s">
        <v>15</v>
      </c>
    </row>
    <row r="108" spans="1:10" ht="16" x14ac:dyDescent="0.2">
      <c r="A108" s="3" t="s">
        <v>108</v>
      </c>
      <c r="B108" s="4" t="s">
        <v>15</v>
      </c>
      <c r="C108" s="4">
        <v>922860000</v>
      </c>
      <c r="D108" s="4">
        <v>1056791000</v>
      </c>
      <c r="E108" s="4">
        <v>39366000</v>
      </c>
      <c r="F108" s="5">
        <v>50104000</v>
      </c>
      <c r="G108" s="4">
        <v>39366000</v>
      </c>
      <c r="H108" s="4">
        <v>22815000</v>
      </c>
      <c r="I108" s="4">
        <v>38262000</v>
      </c>
      <c r="J108" s="4">
        <v>50104000</v>
      </c>
    </row>
    <row r="109" spans="1:10" ht="16" x14ac:dyDescent="0.2">
      <c r="A109" s="3" t="s">
        <v>109</v>
      </c>
      <c r="B109" s="4" t="s">
        <v>15</v>
      </c>
      <c r="C109" s="4">
        <v>260000000</v>
      </c>
      <c r="D109" s="4">
        <v>216538000</v>
      </c>
      <c r="E109" s="4">
        <v>31465000</v>
      </c>
      <c r="F109" s="5">
        <v>32842000</v>
      </c>
      <c r="G109" s="4">
        <v>31465000</v>
      </c>
      <c r="H109" s="4">
        <v>9341000</v>
      </c>
      <c r="I109" s="4">
        <v>23734000</v>
      </c>
      <c r="J109" s="4">
        <v>32842000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t="s">
        <v>15</v>
      </c>
      <c r="C114" s="4">
        <v>662860000</v>
      </c>
      <c r="D114" s="4">
        <v>840253000</v>
      </c>
      <c r="E114" s="4">
        <v>7901000</v>
      </c>
      <c r="F114" s="5">
        <v>17262000</v>
      </c>
      <c r="G114" s="4">
        <v>7901000</v>
      </c>
      <c r="H114" s="4">
        <v>13474000</v>
      </c>
      <c r="I114" s="4">
        <v>14528000</v>
      </c>
      <c r="J114" s="4">
        <v>17262000</v>
      </c>
    </row>
    <row r="115" spans="1:10" ht="16" x14ac:dyDescent="0.2">
      <c r="A115" s="3" t="s">
        <v>112</v>
      </c>
      <c r="B115" s="4" t="s">
        <v>15</v>
      </c>
      <c r="C115" s="4">
        <v>922860000</v>
      </c>
      <c r="D115" s="4">
        <v>1056791000</v>
      </c>
      <c r="E115" s="4">
        <v>39366000</v>
      </c>
      <c r="F115" s="5">
        <v>50104000</v>
      </c>
      <c r="G115" s="4">
        <v>39366000</v>
      </c>
      <c r="H115" s="4">
        <v>22815000</v>
      </c>
      <c r="I115" s="4">
        <v>38262000</v>
      </c>
      <c r="J115" s="4">
        <v>50104000</v>
      </c>
    </row>
    <row r="116" spans="1:10" ht="16" x14ac:dyDescent="0.2">
      <c r="A116" s="3" t="s">
        <v>113</v>
      </c>
      <c r="B116" s="4" t="s">
        <v>15</v>
      </c>
      <c r="C116" s="4">
        <v>1069420000</v>
      </c>
      <c r="D116" s="4">
        <v>1393763000</v>
      </c>
      <c r="E116" s="4">
        <v>562323000</v>
      </c>
      <c r="F116" s="5">
        <v>948109000</v>
      </c>
      <c r="G116" s="4">
        <v>562323000</v>
      </c>
      <c r="H116" s="4">
        <v>758644000</v>
      </c>
      <c r="I116" s="4">
        <v>888088000</v>
      </c>
      <c r="J116" s="4">
        <v>948109000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t="s">
        <v>15</v>
      </c>
      <c r="C118" s="4">
        <v>16809000</v>
      </c>
      <c r="D118" s="4">
        <v>43808000</v>
      </c>
      <c r="E118" s="4">
        <v>1296047000</v>
      </c>
      <c r="F118" s="5">
        <v>1308537000</v>
      </c>
      <c r="G118" s="4">
        <v>1296047000</v>
      </c>
      <c r="H118" s="4">
        <v>1301399000</v>
      </c>
      <c r="I118" s="4">
        <v>1304334000</v>
      </c>
      <c r="J118" s="4">
        <v>1308537000</v>
      </c>
    </row>
    <row r="119" spans="1:10" ht="16" x14ac:dyDescent="0.2">
      <c r="A119" s="3" t="s">
        <v>116</v>
      </c>
      <c r="B119" s="4" t="s">
        <v>15</v>
      </c>
      <c r="C119" s="4">
        <v>16809000</v>
      </c>
      <c r="D119" s="4">
        <v>16809000</v>
      </c>
      <c r="E119" s="4">
        <v>56000</v>
      </c>
      <c r="F119" s="5">
        <v>56000</v>
      </c>
      <c r="G119" s="4">
        <v>56000</v>
      </c>
      <c r="H119" s="4">
        <v>56000</v>
      </c>
      <c r="I119" s="4">
        <v>56000</v>
      </c>
      <c r="J119" s="4">
        <v>56000</v>
      </c>
    </row>
    <row r="120" spans="1:10" ht="16" x14ac:dyDescent="0.2">
      <c r="A120" s="3" t="s">
        <v>117</v>
      </c>
      <c r="B120" s="4" t="s">
        <v>15</v>
      </c>
      <c r="C120" s="4" t="s">
        <v>15</v>
      </c>
      <c r="D120" s="4">
        <v>26999000</v>
      </c>
      <c r="E120" s="4">
        <v>1295991000</v>
      </c>
      <c r="F120" s="5">
        <v>1308481000</v>
      </c>
      <c r="G120" s="4">
        <v>1295991000</v>
      </c>
      <c r="H120" s="4">
        <v>1301343000</v>
      </c>
      <c r="I120" s="4">
        <v>1304278000</v>
      </c>
      <c r="J120" s="4">
        <v>1308481000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t="s">
        <v>15</v>
      </c>
      <c r="C122" s="4">
        <v>-856858000</v>
      </c>
      <c r="D122" s="4">
        <v>-1154944000</v>
      </c>
      <c r="E122" s="4">
        <v>-1286569000</v>
      </c>
      <c r="F122" s="5">
        <v>-1304227000</v>
      </c>
      <c r="G122" s="4">
        <v>-1286569000</v>
      </c>
      <c r="H122" s="4">
        <v>-1293762000</v>
      </c>
      <c r="I122" s="4">
        <v>-1299880000</v>
      </c>
      <c r="J122" s="4">
        <v>-1304227000</v>
      </c>
    </row>
    <row r="123" spans="1:10" ht="16" x14ac:dyDescent="0.2">
      <c r="A123" s="3" t="s">
        <v>120</v>
      </c>
      <c r="B123" s="4" t="s">
        <v>15</v>
      </c>
      <c r="C123" s="4">
        <v>-4418000</v>
      </c>
      <c r="D123" s="4">
        <v>-2092000</v>
      </c>
      <c r="E123" s="4">
        <v>-2294000</v>
      </c>
      <c r="F123" s="5">
        <v>-1834000</v>
      </c>
      <c r="G123" s="4">
        <v>-2294000</v>
      </c>
      <c r="H123" s="4">
        <v>-2314000</v>
      </c>
      <c r="I123" s="4">
        <v>-2086000</v>
      </c>
      <c r="J123" s="4">
        <v>-1834000</v>
      </c>
    </row>
    <row r="124" spans="1:10" ht="16" x14ac:dyDescent="0.2">
      <c r="A124" s="3" t="s">
        <v>121</v>
      </c>
      <c r="B124" s="4" t="s">
        <v>15</v>
      </c>
      <c r="C124" s="4">
        <v>-844467000</v>
      </c>
      <c r="D124" s="4">
        <v>-1113228000</v>
      </c>
      <c r="E124" s="4">
        <v>7184000</v>
      </c>
      <c r="F124" s="5">
        <v>2476000</v>
      </c>
      <c r="G124" s="4">
        <v>7184000</v>
      </c>
      <c r="H124" s="4">
        <v>5323000</v>
      </c>
      <c r="I124" s="4">
        <v>2368000</v>
      </c>
      <c r="J124" s="4">
        <v>2476000</v>
      </c>
    </row>
    <row r="125" spans="1:10" ht="16" x14ac:dyDescent="0.2">
      <c r="A125" s="3" t="s">
        <v>122</v>
      </c>
      <c r="B125" s="4" t="s">
        <v>15</v>
      </c>
      <c r="C125" s="4" t="s">
        <v>15</v>
      </c>
      <c r="D125" s="4" t="s">
        <v>15</v>
      </c>
      <c r="E125" s="4">
        <v>61756000</v>
      </c>
      <c r="F125" s="5">
        <v>19155000</v>
      </c>
      <c r="G125" s="4">
        <v>61756000</v>
      </c>
      <c r="H125" s="4">
        <v>44979000</v>
      </c>
      <c r="I125" s="4">
        <v>19073000</v>
      </c>
      <c r="J125" s="4">
        <v>19155000</v>
      </c>
    </row>
    <row r="126" spans="1:10" ht="16" x14ac:dyDescent="0.2">
      <c r="A126" s="3" t="s">
        <v>123</v>
      </c>
      <c r="B126" s="4" t="s">
        <v>15</v>
      </c>
      <c r="C126" s="4">
        <v>-844467000</v>
      </c>
      <c r="D126" s="4">
        <v>-1113228000</v>
      </c>
      <c r="E126" s="4">
        <v>68940000</v>
      </c>
      <c r="F126" s="5">
        <v>21631000</v>
      </c>
      <c r="G126" s="4">
        <v>68940000</v>
      </c>
      <c r="H126" s="4">
        <v>50302000</v>
      </c>
      <c r="I126" s="4">
        <v>21441000</v>
      </c>
      <c r="J126" s="4">
        <v>21631000</v>
      </c>
    </row>
    <row r="127" spans="1:10" ht="16" x14ac:dyDescent="0.2">
      <c r="A127" s="3" t="s">
        <v>124</v>
      </c>
      <c r="B127" s="4" t="s">
        <v>15</v>
      </c>
      <c r="C127" s="4">
        <v>224953000</v>
      </c>
      <c r="D127" s="4">
        <v>280535000</v>
      </c>
      <c r="E127" s="4">
        <v>631263000</v>
      </c>
      <c r="F127" s="5">
        <v>969740000</v>
      </c>
      <c r="G127" s="4">
        <v>631263000</v>
      </c>
      <c r="H127" s="4">
        <v>808946000</v>
      </c>
      <c r="I127" s="4">
        <v>909529000</v>
      </c>
      <c r="J127" s="4">
        <v>969740000</v>
      </c>
    </row>
    <row r="128" spans="1:10" ht="16" x14ac:dyDescent="0.2">
      <c r="A128" s="33" t="s">
        <v>125</v>
      </c>
      <c r="B128" s="29">
        <v>50664000</v>
      </c>
      <c r="C128" s="29">
        <v>50664000</v>
      </c>
      <c r="D128" s="29">
        <v>50664000</v>
      </c>
      <c r="E128" s="29">
        <v>57719000</v>
      </c>
      <c r="F128" s="30">
        <v>62442000</v>
      </c>
      <c r="G128" s="29">
        <v>57719000</v>
      </c>
      <c r="H128" s="29">
        <v>59359000</v>
      </c>
      <c r="I128" s="29">
        <v>61284000</v>
      </c>
      <c r="J128" s="29">
        <v>62442000</v>
      </c>
    </row>
    <row r="129" spans="1:10" ht="16" x14ac:dyDescent="0.2">
      <c r="A129" s="16" t="s">
        <v>188</v>
      </c>
      <c r="B129" s="17"/>
      <c r="C129" s="22">
        <f>(C128/B128)-1</f>
        <v>0</v>
      </c>
      <c r="D129" s="22">
        <f>(D128/C128)-1</f>
        <v>0</v>
      </c>
      <c r="E129" s="22">
        <f>(E128/D128)-1</f>
        <v>0.13925075003947573</v>
      </c>
      <c r="F129" s="22">
        <f t="shared" ref="F129:J129" si="6">(F128/E128)-1</f>
        <v>8.1827474488469942E-2</v>
      </c>
      <c r="G129" s="22">
        <f t="shared" si="6"/>
        <v>-7.5638192242400981E-2</v>
      </c>
      <c r="H129" s="22">
        <f t="shared" si="6"/>
        <v>2.8413520677766479E-2</v>
      </c>
      <c r="I129" s="22">
        <f t="shared" si="6"/>
        <v>3.2429791607001546E-2</v>
      </c>
      <c r="J129" s="22">
        <f t="shared" si="6"/>
        <v>1.8895633444292237E-2</v>
      </c>
    </row>
    <row r="130" spans="1:10" ht="16" x14ac:dyDescent="0.2">
      <c r="A130" s="3" t="s">
        <v>126</v>
      </c>
      <c r="B130" s="4" t="s">
        <v>15</v>
      </c>
      <c r="C130" s="4" t="s">
        <v>15</v>
      </c>
      <c r="D130" s="4" t="s">
        <v>15</v>
      </c>
      <c r="E130" s="4" t="s">
        <v>15</v>
      </c>
      <c r="F130" s="5" t="s">
        <v>15</v>
      </c>
      <c r="G130" s="4" t="s">
        <v>15</v>
      </c>
      <c r="H130" s="4" t="s">
        <v>15</v>
      </c>
      <c r="I130" s="4" t="s">
        <v>15</v>
      </c>
      <c r="J130" s="4" t="s">
        <v>15</v>
      </c>
    </row>
    <row r="131" spans="1:10" ht="16" x14ac:dyDescent="0.2">
      <c r="A131" s="3" t="s">
        <v>127</v>
      </c>
      <c r="B131" s="4" t="s">
        <v>15</v>
      </c>
      <c r="C131" s="4">
        <v>-58264000</v>
      </c>
      <c r="D131" s="4">
        <v>-156634000</v>
      </c>
      <c r="E131" s="4">
        <v>-353457000</v>
      </c>
      <c r="F131" s="5">
        <v>-255490000</v>
      </c>
      <c r="G131" s="4">
        <v>-353457000</v>
      </c>
      <c r="H131" s="4">
        <v>-350724000</v>
      </c>
      <c r="I131" s="4">
        <v>-256954000</v>
      </c>
      <c r="J131" s="4">
        <v>-255490000</v>
      </c>
    </row>
    <row r="132" spans="1:10" ht="16" x14ac:dyDescent="0.2">
      <c r="A132" s="3" t="s">
        <v>128</v>
      </c>
      <c r="B132" s="4" t="s">
        <v>15</v>
      </c>
      <c r="C132" s="6">
        <v>6.9</v>
      </c>
      <c r="D132" s="6">
        <v>14.07</v>
      </c>
      <c r="E132" s="6">
        <v>-512.70000000000005</v>
      </c>
      <c r="F132" s="7">
        <v>-1181.1300000000001</v>
      </c>
      <c r="G132" s="6">
        <v>-512.70000000000005</v>
      </c>
      <c r="H132" s="6">
        <v>-697.24</v>
      </c>
      <c r="I132" s="6">
        <v>-1198.42</v>
      </c>
      <c r="J132" s="6">
        <v>-1181.1300000000001</v>
      </c>
    </row>
    <row r="133" spans="1:10" ht="16" x14ac:dyDescent="0.2">
      <c r="A133" s="3" t="s">
        <v>129</v>
      </c>
      <c r="B133" s="4" t="s">
        <v>15</v>
      </c>
      <c r="C133" s="6">
        <v>-378.67</v>
      </c>
      <c r="D133" s="6">
        <v>-398.89</v>
      </c>
      <c r="E133" s="6">
        <v>10.83</v>
      </c>
      <c r="F133" s="7">
        <v>2.2000000000000002</v>
      </c>
      <c r="G133" s="6">
        <v>10.83</v>
      </c>
      <c r="H133" s="6">
        <v>6.16</v>
      </c>
      <c r="I133" s="6">
        <v>2.31</v>
      </c>
      <c r="J133" s="6">
        <v>2.2000000000000002</v>
      </c>
    </row>
    <row r="134" spans="1:10" ht="16" x14ac:dyDescent="0.2">
      <c r="A134" s="3" t="s">
        <v>130</v>
      </c>
      <c r="B134" s="4" t="s">
        <v>15</v>
      </c>
      <c r="C134" s="6">
        <v>1.44</v>
      </c>
      <c r="D134" s="6">
        <v>0.77</v>
      </c>
      <c r="E134" s="6">
        <v>1.1599999999999999</v>
      </c>
      <c r="F134" s="7">
        <v>1.03</v>
      </c>
      <c r="G134" s="6">
        <v>1.1599999999999999</v>
      </c>
      <c r="H134" s="6">
        <v>1.05</v>
      </c>
      <c r="I134" s="6">
        <v>1.02</v>
      </c>
      <c r="J134" s="6">
        <v>1.03</v>
      </c>
    </row>
    <row r="135" spans="1:10" ht="16" x14ac:dyDescent="0.2">
      <c r="A135" s="3" t="s">
        <v>131</v>
      </c>
      <c r="B135" s="4" t="s">
        <v>15</v>
      </c>
      <c r="C135" s="6">
        <v>23.45</v>
      </c>
      <c r="D135" s="6">
        <v>61.53</v>
      </c>
      <c r="E135" s="6">
        <v>35.03</v>
      </c>
      <c r="F135" s="7">
        <v>41.06</v>
      </c>
      <c r="G135" s="6">
        <v>35.03</v>
      </c>
      <c r="H135" s="6">
        <v>37.75</v>
      </c>
      <c r="I135" s="6">
        <v>51.06</v>
      </c>
      <c r="J135" s="6">
        <v>41.06</v>
      </c>
    </row>
    <row r="136" spans="1:10" ht="16" x14ac:dyDescent="0.2">
      <c r="A136" s="3" t="s">
        <v>132</v>
      </c>
      <c r="B136" s="4" t="s">
        <v>15</v>
      </c>
      <c r="C136" s="4" t="s">
        <v>15</v>
      </c>
      <c r="D136" s="4" t="s">
        <v>15</v>
      </c>
      <c r="E136" s="4">
        <v>1120</v>
      </c>
      <c r="F136" s="5">
        <v>1120</v>
      </c>
      <c r="G136" s="4">
        <v>1120</v>
      </c>
      <c r="H136" s="4">
        <v>1120</v>
      </c>
      <c r="I136" s="4">
        <v>1120</v>
      </c>
      <c r="J136" s="4">
        <v>1120</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-104361000</v>
      </c>
      <c r="C139" s="4">
        <v>-109521000</v>
      </c>
      <c r="D139" s="4">
        <v>-122314000</v>
      </c>
      <c r="E139" s="4">
        <v>-139089000</v>
      </c>
      <c r="F139" s="5">
        <v>-215737000</v>
      </c>
      <c r="G139" s="4">
        <v>-53258000</v>
      </c>
      <c r="H139" s="4">
        <v>-67986000</v>
      </c>
      <c r="I139" s="4">
        <v>-55416000</v>
      </c>
      <c r="J139" s="4">
        <v>-39077000</v>
      </c>
    </row>
    <row r="140" spans="1:10" ht="16" x14ac:dyDescent="0.2">
      <c r="A140" s="3" t="s">
        <v>134</v>
      </c>
      <c r="B140" s="4">
        <v>7353000</v>
      </c>
      <c r="C140" s="4">
        <v>5734000</v>
      </c>
      <c r="D140" s="4">
        <v>4491000</v>
      </c>
      <c r="E140" s="4">
        <v>5989000</v>
      </c>
      <c r="F140" s="5">
        <v>8395000</v>
      </c>
      <c r="G140" s="4">
        <v>1789000</v>
      </c>
      <c r="H140" s="4">
        <v>2077000</v>
      </c>
      <c r="I140" s="4">
        <v>2069000</v>
      </c>
      <c r="J140" s="4">
        <v>2460000</v>
      </c>
    </row>
    <row r="141" spans="1:10" ht="16" x14ac:dyDescent="0.2">
      <c r="A141" s="3" t="s">
        <v>135</v>
      </c>
      <c r="B141" s="4">
        <v>143000</v>
      </c>
      <c r="C141" s="4">
        <v>108000</v>
      </c>
      <c r="D141" s="4">
        <v>150000</v>
      </c>
      <c r="E141" s="4">
        <v>30981000</v>
      </c>
      <c r="F141" s="5">
        <v>148806000</v>
      </c>
      <c r="G141" s="4">
        <v>26855000</v>
      </c>
      <c r="H141" s="4">
        <v>49550000</v>
      </c>
      <c r="I141" s="4">
        <v>35330000</v>
      </c>
      <c r="J141" s="4">
        <v>37071000</v>
      </c>
    </row>
    <row r="142" spans="1:10" ht="16" x14ac:dyDescent="0.2">
      <c r="A142" s="33" t="s">
        <v>136</v>
      </c>
      <c r="B142" s="29">
        <v>22000</v>
      </c>
      <c r="C142" s="29">
        <v>71000</v>
      </c>
      <c r="D142" s="29">
        <v>97000</v>
      </c>
      <c r="E142" s="29">
        <v>26858000</v>
      </c>
      <c r="F142" s="30">
        <v>148570000</v>
      </c>
      <c r="G142" s="29">
        <v>26808000</v>
      </c>
      <c r="H142" s="29">
        <v>49540000</v>
      </c>
      <c r="I142" s="29">
        <v>35223000</v>
      </c>
      <c r="J142" s="29">
        <v>36999000</v>
      </c>
    </row>
    <row r="143" spans="1:10" ht="16" x14ac:dyDescent="0.2">
      <c r="A143" s="12" t="s">
        <v>189</v>
      </c>
      <c r="B143" s="22">
        <f t="shared" ref="B143:J143" si="7">B142/B2</f>
        <v>2.197297324291122E-4</v>
      </c>
      <c r="C143" s="22">
        <f t="shared" si="7"/>
        <v>7.7101839584736004E-4</v>
      </c>
      <c r="D143" s="22">
        <f t="shared" si="7"/>
        <v>3.8505357008173459E-4</v>
      </c>
      <c r="E143" s="22">
        <f t="shared" si="7"/>
        <v>4.5267919745429049E-2</v>
      </c>
      <c r="F143" s="22">
        <f t="shared" si="7"/>
        <v>0.14432468926526232</v>
      </c>
      <c r="G143" s="22">
        <f t="shared" si="7"/>
        <v>0.10968364892067492</v>
      </c>
      <c r="H143" s="22">
        <f t="shared" si="7"/>
        <v>0.2401217573384001</v>
      </c>
      <c r="I143" s="22">
        <f t="shared" si="7"/>
        <v>0.13199352454900432</v>
      </c>
      <c r="J143" s="22">
        <f t="shared" si="7"/>
        <v>0.11864852471002479</v>
      </c>
    </row>
    <row r="144" spans="1:10" ht="16" x14ac:dyDescent="0.2">
      <c r="A144" s="3" t="s">
        <v>137</v>
      </c>
      <c r="B144" s="4" t="s">
        <v>15</v>
      </c>
      <c r="C144" s="4">
        <v>-47000</v>
      </c>
      <c r="D144" s="4" t="s">
        <v>15</v>
      </c>
      <c r="E144" s="4" t="s">
        <v>15</v>
      </c>
      <c r="F144" s="5" t="s">
        <v>15</v>
      </c>
      <c r="G144" s="4" t="s">
        <v>15</v>
      </c>
      <c r="H144" s="4" t="s">
        <v>15</v>
      </c>
      <c r="I144" s="4" t="s">
        <v>15</v>
      </c>
      <c r="J144" s="4" t="s">
        <v>15</v>
      </c>
    </row>
    <row r="145" spans="1:10" ht="16" x14ac:dyDescent="0.2">
      <c r="A145" s="3" t="s">
        <v>138</v>
      </c>
      <c r="B145" s="4" t="s">
        <v>15</v>
      </c>
      <c r="C145" s="4" t="s">
        <v>15</v>
      </c>
      <c r="D145" s="4" t="s">
        <v>15</v>
      </c>
      <c r="E145" s="4" t="s">
        <v>15</v>
      </c>
      <c r="F145" s="5">
        <v>123000</v>
      </c>
      <c r="G145" s="4" t="s">
        <v>15</v>
      </c>
      <c r="H145" s="4" t="s">
        <v>15</v>
      </c>
      <c r="I145" s="4">
        <v>123000</v>
      </c>
      <c r="J145" s="4" t="s">
        <v>15</v>
      </c>
    </row>
    <row r="146" spans="1:10" ht="16" x14ac:dyDescent="0.2">
      <c r="A146" s="3" t="s">
        <v>139</v>
      </c>
      <c r="B146" s="4">
        <v>121000</v>
      </c>
      <c r="C146" s="4">
        <v>84000</v>
      </c>
      <c r="D146" s="4">
        <v>53000</v>
      </c>
      <c r="E146" s="4">
        <v>4123000</v>
      </c>
      <c r="F146" s="5">
        <v>113000</v>
      </c>
      <c r="G146" s="4">
        <v>47000</v>
      </c>
      <c r="H146" s="4">
        <v>10000</v>
      </c>
      <c r="I146" s="4">
        <v>-16000</v>
      </c>
      <c r="J146" s="4">
        <v>72000</v>
      </c>
    </row>
    <row r="147" spans="1:10" ht="16" x14ac:dyDescent="0.2">
      <c r="A147" s="3" t="s">
        <v>140</v>
      </c>
      <c r="B147" s="4">
        <v>114050000</v>
      </c>
      <c r="C147" s="4">
        <v>-20628000</v>
      </c>
      <c r="D147" s="4">
        <v>227240000</v>
      </c>
      <c r="E147" s="4">
        <v>-46128000</v>
      </c>
      <c r="F147" s="5">
        <v>194265000</v>
      </c>
      <c r="G147" s="4">
        <v>-26904000</v>
      </c>
      <c r="H147" s="4">
        <v>117411000</v>
      </c>
      <c r="I147" s="4">
        <v>49329000</v>
      </c>
      <c r="J147" s="4">
        <v>54429000</v>
      </c>
    </row>
    <row r="148" spans="1:10" ht="16" x14ac:dyDescent="0.2">
      <c r="A148" s="3" t="s">
        <v>141</v>
      </c>
      <c r="B148" s="4">
        <v>-1128000</v>
      </c>
      <c r="C148" s="4">
        <v>342000</v>
      </c>
      <c r="D148" s="4">
        <v>-1619000</v>
      </c>
      <c r="E148" s="4">
        <v>-508000</v>
      </c>
      <c r="F148" s="5">
        <v>-71152000</v>
      </c>
      <c r="G148" s="4">
        <v>-852000</v>
      </c>
      <c r="H148" s="4">
        <v>-48959000</v>
      </c>
      <c r="I148" s="4">
        <v>-72178000</v>
      </c>
      <c r="J148" s="4">
        <v>50837000</v>
      </c>
    </row>
    <row r="149" spans="1:10" ht="16" x14ac:dyDescent="0.2">
      <c r="A149" s="3" t="s">
        <v>142</v>
      </c>
      <c r="B149" s="4">
        <v>10370000</v>
      </c>
      <c r="C149" s="4">
        <v>-5653000</v>
      </c>
      <c r="D149" s="4">
        <v>-16817000</v>
      </c>
      <c r="E149" s="4">
        <v>-59572000</v>
      </c>
      <c r="F149" s="5">
        <v>-40249000</v>
      </c>
      <c r="G149" s="4">
        <v>34372000</v>
      </c>
      <c r="H149" s="4">
        <v>-19096000</v>
      </c>
      <c r="I149" s="4">
        <v>-29597000</v>
      </c>
      <c r="J149" s="4">
        <v>-25928000</v>
      </c>
    </row>
    <row r="150" spans="1:10" ht="16" x14ac:dyDescent="0.2">
      <c r="A150" s="3" t="s">
        <v>143</v>
      </c>
      <c r="B150" s="4">
        <v>1068000</v>
      </c>
      <c r="C150" s="4">
        <v>21000</v>
      </c>
      <c r="D150" s="4">
        <v>3736000</v>
      </c>
      <c r="E150" s="4">
        <v>-121143000</v>
      </c>
      <c r="F150" s="5">
        <v>-78495000</v>
      </c>
      <c r="G150" s="4">
        <v>-78074000</v>
      </c>
      <c r="H150" s="4">
        <v>1249000</v>
      </c>
      <c r="I150" s="4">
        <v>24123000</v>
      </c>
      <c r="J150" s="4">
        <v>-25793000</v>
      </c>
    </row>
    <row r="151" spans="1:10" ht="16" x14ac:dyDescent="0.2">
      <c r="A151" s="3" t="s">
        <v>144</v>
      </c>
      <c r="B151" s="4">
        <v>8141000</v>
      </c>
      <c r="C151" s="4">
        <v>-4168000</v>
      </c>
      <c r="D151" s="4">
        <v>38356000</v>
      </c>
      <c r="E151" s="4">
        <v>79426000</v>
      </c>
      <c r="F151" s="5">
        <v>24475000</v>
      </c>
      <c r="G151" s="4">
        <v>-2406000</v>
      </c>
      <c r="H151" s="4">
        <v>26619000</v>
      </c>
      <c r="I151" s="4">
        <v>27682000</v>
      </c>
      <c r="J151" s="4">
        <v>-27420000</v>
      </c>
    </row>
    <row r="152" spans="1:10" ht="16" x14ac:dyDescent="0.2">
      <c r="A152" s="3" t="s">
        <v>145</v>
      </c>
      <c r="B152" s="4">
        <v>95599000</v>
      </c>
      <c r="C152" s="4">
        <v>-11170000</v>
      </c>
      <c r="D152" s="4">
        <v>203584000</v>
      </c>
      <c r="E152" s="4">
        <v>55669000</v>
      </c>
      <c r="F152" s="5">
        <v>359686000</v>
      </c>
      <c r="G152" s="4">
        <v>20056000</v>
      </c>
      <c r="H152" s="4">
        <v>157598000</v>
      </c>
      <c r="I152" s="4">
        <v>99299000</v>
      </c>
      <c r="J152" s="4">
        <v>82733000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17185000</v>
      </c>
      <c r="C154" s="4">
        <v>-124307000</v>
      </c>
      <c r="D154" s="4">
        <v>109567000</v>
      </c>
      <c r="E154" s="4">
        <v>-148247000</v>
      </c>
      <c r="F154" s="5">
        <v>135729000</v>
      </c>
      <c r="G154" s="4">
        <v>-51518000</v>
      </c>
      <c r="H154" s="4">
        <v>101052000</v>
      </c>
      <c r="I154" s="4">
        <v>31312000</v>
      </c>
      <c r="J154" s="4">
        <v>54883000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-4327000</v>
      </c>
      <c r="C159" s="4">
        <v>-5071000</v>
      </c>
      <c r="D159" s="4">
        <v>-12168000</v>
      </c>
      <c r="E159" s="4">
        <v>-17950000</v>
      </c>
      <c r="F159" s="5">
        <v>-28525000</v>
      </c>
      <c r="G159" s="4">
        <v>-7181000</v>
      </c>
      <c r="H159" s="4">
        <v>-6990000</v>
      </c>
      <c r="I159" s="4">
        <v>-6017000</v>
      </c>
      <c r="J159" s="4">
        <v>-8337000</v>
      </c>
    </row>
    <row r="160" spans="1:10" ht="16" x14ac:dyDescent="0.2">
      <c r="A160" s="3" t="s">
        <v>153</v>
      </c>
      <c r="B160" s="4">
        <v>-4327000</v>
      </c>
      <c r="C160" s="4">
        <v>-5071000</v>
      </c>
      <c r="D160" s="4">
        <v>-12168000</v>
      </c>
      <c r="E160" s="4">
        <v>-17950000</v>
      </c>
      <c r="F160" s="5">
        <v>-28525000</v>
      </c>
      <c r="G160" s="4">
        <v>-7181000</v>
      </c>
      <c r="H160" s="4">
        <v>-6990000</v>
      </c>
      <c r="I160" s="4">
        <v>-6017000</v>
      </c>
      <c r="J160" s="4">
        <v>-8337000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t="s">
        <v>15</v>
      </c>
      <c r="C162" s="4" t="s">
        <v>15</v>
      </c>
      <c r="D162" s="4" t="s">
        <v>15</v>
      </c>
      <c r="E162" s="4" t="s">
        <v>15</v>
      </c>
      <c r="F162" s="5">
        <v>-251097000</v>
      </c>
      <c r="G162" s="4" t="s">
        <v>15</v>
      </c>
      <c r="H162" s="4">
        <v>-96813000</v>
      </c>
      <c r="I162" s="4">
        <v>-106327000</v>
      </c>
      <c r="J162" s="4">
        <v>-47957000</v>
      </c>
    </row>
    <row r="163" spans="1:10" ht="16" x14ac:dyDescent="0.2">
      <c r="A163" s="3" t="s">
        <v>156</v>
      </c>
      <c r="B163" s="4" t="s">
        <v>15</v>
      </c>
      <c r="C163" s="4" t="s">
        <v>15</v>
      </c>
      <c r="D163" s="4" t="s">
        <v>15</v>
      </c>
      <c r="E163" s="4" t="s">
        <v>15</v>
      </c>
      <c r="F163" s="5">
        <v>50000000</v>
      </c>
      <c r="G163" s="4" t="s">
        <v>15</v>
      </c>
      <c r="H163" s="4" t="s">
        <v>15</v>
      </c>
      <c r="I163" s="4" t="s">
        <v>15</v>
      </c>
      <c r="J163" s="4">
        <v>50000000</v>
      </c>
    </row>
    <row r="164" spans="1:10" ht="16" x14ac:dyDescent="0.2">
      <c r="A164" s="3" t="s">
        <v>157</v>
      </c>
      <c r="B164" s="4" t="s">
        <v>15</v>
      </c>
      <c r="C164" s="4" t="s">
        <v>15</v>
      </c>
      <c r="D164" s="4" t="s">
        <v>15</v>
      </c>
      <c r="E164" s="4" t="s">
        <v>15</v>
      </c>
      <c r="F164" s="5">
        <v>-301097000</v>
      </c>
      <c r="G164" s="4" t="s">
        <v>15</v>
      </c>
      <c r="H164" s="4">
        <v>-96813000</v>
      </c>
      <c r="I164" s="4">
        <v>-106327000</v>
      </c>
      <c r="J164" s="4">
        <v>-97957000</v>
      </c>
    </row>
    <row r="165" spans="1:10" ht="16" x14ac:dyDescent="0.2">
      <c r="A165" s="3" t="s">
        <v>158</v>
      </c>
      <c r="B165" s="4" t="s">
        <v>15</v>
      </c>
      <c r="C165" s="4" t="s">
        <v>15</v>
      </c>
      <c r="D165" s="4" t="s">
        <v>15</v>
      </c>
      <c r="E165" s="4" t="s">
        <v>15</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t="s">
        <v>15</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t="s">
        <v>15</v>
      </c>
      <c r="C169" s="4">
        <v>12000</v>
      </c>
      <c r="D169" s="4" t="s">
        <v>15</v>
      </c>
      <c r="E169" s="4" t="s">
        <v>15</v>
      </c>
      <c r="F169" s="5" t="s">
        <v>15</v>
      </c>
      <c r="G169" s="4" t="s">
        <v>15</v>
      </c>
      <c r="H169" s="4" t="s">
        <v>15</v>
      </c>
      <c r="I169" s="4" t="s">
        <v>15</v>
      </c>
      <c r="J169" s="4" t="s">
        <v>15</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-4327000</v>
      </c>
      <c r="C171" s="4">
        <v>-5059000</v>
      </c>
      <c r="D171" s="4">
        <v>-12168000</v>
      </c>
      <c r="E171" s="4">
        <v>-17950000</v>
      </c>
      <c r="F171" s="5">
        <v>-279622000</v>
      </c>
      <c r="G171" s="4">
        <v>-7181000</v>
      </c>
      <c r="H171" s="4">
        <v>-103803000</v>
      </c>
      <c r="I171" s="4">
        <v>-112344000</v>
      </c>
      <c r="J171" s="4">
        <v>-56294000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t="s">
        <v>15</v>
      </c>
      <c r="C173" s="4" t="s">
        <v>15</v>
      </c>
      <c r="D173" s="4" t="s">
        <v>15</v>
      </c>
      <c r="E173" s="4" t="s">
        <v>15</v>
      </c>
      <c r="F173" s="5" t="s">
        <v>15</v>
      </c>
      <c r="G173" s="4" t="s">
        <v>15</v>
      </c>
      <c r="H173" s="4" t="s">
        <v>15</v>
      </c>
      <c r="I173" s="4" t="s">
        <v>15</v>
      </c>
      <c r="J173" s="4" t="s">
        <v>15</v>
      </c>
    </row>
    <row r="174" spans="1:10" ht="16" x14ac:dyDescent="0.2">
      <c r="A174" s="3" t="s">
        <v>166</v>
      </c>
      <c r="B174" s="4" t="s">
        <v>15</v>
      </c>
      <c r="C174" s="4" t="s">
        <v>15</v>
      </c>
      <c r="D174" s="4" t="s">
        <v>15</v>
      </c>
      <c r="E174" s="4" t="s">
        <v>15</v>
      </c>
      <c r="F174" s="5" t="s">
        <v>15</v>
      </c>
      <c r="G174" s="4" t="s">
        <v>15</v>
      </c>
      <c r="H174" s="4" t="s">
        <v>15</v>
      </c>
      <c r="I174" s="4" t="s">
        <v>15</v>
      </c>
      <c r="J174" s="4" t="s">
        <v>15</v>
      </c>
    </row>
    <row r="175" spans="1:10" ht="16" x14ac:dyDescent="0.2">
      <c r="A175" s="3" t="s">
        <v>167</v>
      </c>
      <c r="B175" s="4" t="s">
        <v>15</v>
      </c>
      <c r="C175" s="4" t="s">
        <v>15</v>
      </c>
      <c r="D175" s="4" t="s">
        <v>15</v>
      </c>
      <c r="E175" s="4" t="s">
        <v>15</v>
      </c>
      <c r="F175" s="5" t="s">
        <v>15</v>
      </c>
      <c r="G175" s="4" t="s">
        <v>15</v>
      </c>
      <c r="H175" s="4" t="s">
        <v>15</v>
      </c>
      <c r="I175" s="4" t="s">
        <v>15</v>
      </c>
      <c r="J175" s="4" t="s">
        <v>15</v>
      </c>
    </row>
    <row r="176" spans="1:10" ht="16" x14ac:dyDescent="0.2">
      <c r="A176" s="3" t="s">
        <v>168</v>
      </c>
      <c r="B176" s="4" t="s">
        <v>15</v>
      </c>
      <c r="C176" s="4" t="s">
        <v>15</v>
      </c>
      <c r="D176" s="4" t="s">
        <v>15</v>
      </c>
      <c r="E176" s="4">
        <v>384672000</v>
      </c>
      <c r="F176" s="5" t="s">
        <v>15</v>
      </c>
      <c r="G176" s="4" t="s">
        <v>15</v>
      </c>
      <c r="H176" s="4" t="s">
        <v>15</v>
      </c>
      <c r="I176" s="4" t="s">
        <v>15</v>
      </c>
      <c r="J176" s="4" t="s">
        <v>15</v>
      </c>
    </row>
    <row r="177" spans="1:10" ht="16" x14ac:dyDescent="0.2">
      <c r="A177" s="3" t="s">
        <v>169</v>
      </c>
      <c r="B177" s="4" t="s">
        <v>15</v>
      </c>
      <c r="C177" s="4" t="s">
        <v>15</v>
      </c>
      <c r="D177" s="4" t="s">
        <v>15</v>
      </c>
      <c r="E177" s="4">
        <v>384672000</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t="s">
        <v>15</v>
      </c>
      <c r="C179" s="4">
        <v>100000000</v>
      </c>
      <c r="D179" s="4" t="s">
        <v>15</v>
      </c>
      <c r="E179" s="4">
        <v>-22224000</v>
      </c>
      <c r="F179" s="5">
        <v>-10726000</v>
      </c>
      <c r="G179" s="4" t="s">
        <v>15</v>
      </c>
      <c r="H179" s="4" t="s">
        <v>15</v>
      </c>
      <c r="I179" s="4">
        <v>-10726000</v>
      </c>
      <c r="J179" s="4" t="s">
        <v>15</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t="s">
        <v>15</v>
      </c>
      <c r="C181" s="4">
        <v>100000000</v>
      </c>
      <c r="D181" s="4" t="s">
        <v>15</v>
      </c>
      <c r="E181" s="4">
        <v>362448000</v>
      </c>
      <c r="F181" s="5">
        <v>-10726000</v>
      </c>
      <c r="G181" s="4" t="s">
        <v>15</v>
      </c>
      <c r="H181" s="4" t="s">
        <v>15</v>
      </c>
      <c r="I181" s="4">
        <v>-10726000</v>
      </c>
      <c r="J181" s="4" t="s">
        <v>15</v>
      </c>
    </row>
    <row r="182" spans="1:10" ht="16" x14ac:dyDescent="0.2">
      <c r="A182" s="3" t="s">
        <v>173</v>
      </c>
      <c r="B182" s="4">
        <v>-49000</v>
      </c>
      <c r="C182" s="4">
        <v>-679000</v>
      </c>
      <c r="D182" s="4">
        <v>971000</v>
      </c>
      <c r="E182" s="4">
        <v>572000</v>
      </c>
      <c r="F182" s="5">
        <v>587000</v>
      </c>
      <c r="G182" s="4">
        <v>494000</v>
      </c>
      <c r="H182" s="4">
        <v>18000</v>
      </c>
      <c r="I182" s="4">
        <v>120000</v>
      </c>
      <c r="J182" s="4">
        <v>-45000</v>
      </c>
    </row>
    <row r="183" spans="1:10" ht="16" x14ac:dyDescent="0.2">
      <c r="A183" s="3" t="s">
        <v>174</v>
      </c>
      <c r="B183" s="4">
        <v>12858000</v>
      </c>
      <c r="C183" s="4">
        <v>-29366000</v>
      </c>
      <c r="D183" s="4">
        <v>97399000</v>
      </c>
      <c r="E183" s="4">
        <v>196251000</v>
      </c>
      <c r="F183" s="5">
        <v>-154619000</v>
      </c>
      <c r="G183" s="4">
        <v>-58699000</v>
      </c>
      <c r="H183" s="4">
        <v>-2751000</v>
      </c>
      <c r="I183" s="4">
        <v>-91758000</v>
      </c>
      <c r="J183" s="4">
        <v>-1411000</v>
      </c>
    </row>
    <row r="184" spans="1:10" ht="16" x14ac:dyDescent="0.2">
      <c r="A184" s="3" t="s">
        <v>45</v>
      </c>
      <c r="B184" s="4">
        <v>-98440000</v>
      </c>
      <c r="C184" s="4">
        <v>-104643000</v>
      </c>
      <c r="D184" s="4">
        <v>-117890000</v>
      </c>
      <c r="E184" s="4">
        <v>-134386000</v>
      </c>
      <c r="F184" s="5">
        <v>-215208000</v>
      </c>
      <c r="G184" s="4">
        <v>-52519000</v>
      </c>
      <c r="H184" s="4">
        <v>-67492000</v>
      </c>
      <c r="I184" s="4">
        <v>-55648000</v>
      </c>
      <c r="J184" s="4">
        <v>-39549000</v>
      </c>
    </row>
    <row r="185" spans="1:10" ht="16" x14ac:dyDescent="0.2">
      <c r="A185" s="3" t="s">
        <v>46</v>
      </c>
      <c r="B185" s="6">
        <v>-98.32</v>
      </c>
      <c r="C185" s="6">
        <v>-113.64</v>
      </c>
      <c r="D185" s="6">
        <v>-46.8</v>
      </c>
      <c r="E185" s="6">
        <v>-22.65</v>
      </c>
      <c r="F185" s="7">
        <v>-20.91</v>
      </c>
      <c r="G185" s="6">
        <v>-22.65</v>
      </c>
      <c r="H185" s="6">
        <v>-24.93</v>
      </c>
      <c r="I185" s="6">
        <v>-23.21</v>
      </c>
      <c r="J185" s="6">
        <v>-20.91</v>
      </c>
    </row>
    <row r="186" spans="1:10" ht="16" x14ac:dyDescent="0.2">
      <c r="A186" s="3" t="s">
        <v>175</v>
      </c>
      <c r="B186" s="4" t="s">
        <v>15</v>
      </c>
      <c r="C186" s="4" t="s">
        <v>15</v>
      </c>
      <c r="D186" s="4" t="s">
        <v>15</v>
      </c>
      <c r="E186" s="4" t="s">
        <v>15</v>
      </c>
      <c r="F186" s="5" t="s">
        <v>15</v>
      </c>
      <c r="G186" s="4" t="s">
        <v>15</v>
      </c>
      <c r="H186" s="4" t="s">
        <v>15</v>
      </c>
      <c r="I186" s="4" t="s">
        <v>15</v>
      </c>
      <c r="J186" s="4" t="s">
        <v>15</v>
      </c>
    </row>
    <row r="187" spans="1:10" ht="16" x14ac:dyDescent="0.2">
      <c r="A187" s="3" t="s">
        <v>176</v>
      </c>
      <c r="B187" s="4">
        <v>12858000</v>
      </c>
      <c r="C187" s="4">
        <v>-129378000</v>
      </c>
      <c r="D187" s="4">
        <v>97399000</v>
      </c>
      <c r="E187" s="4">
        <v>-166197000</v>
      </c>
      <c r="F187" s="5">
        <v>107204000</v>
      </c>
      <c r="G187" s="4">
        <v>-58699000</v>
      </c>
      <c r="H187" s="4">
        <v>94062000</v>
      </c>
      <c r="I187" s="4">
        <v>25295000</v>
      </c>
      <c r="J187" s="4">
        <v>46546000</v>
      </c>
    </row>
    <row r="188" spans="1:10" ht="16" x14ac:dyDescent="0.2">
      <c r="A188" s="33" t="s">
        <v>177</v>
      </c>
      <c r="B188" s="29">
        <v>12858000</v>
      </c>
      <c r="C188" s="29">
        <v>-129378000</v>
      </c>
      <c r="D188" s="29">
        <v>97399000</v>
      </c>
      <c r="E188" s="29">
        <v>-166197000</v>
      </c>
      <c r="F188" s="30">
        <v>107204000</v>
      </c>
      <c r="G188" s="29">
        <v>-58699000</v>
      </c>
      <c r="H188" s="29">
        <v>94062000</v>
      </c>
      <c r="I188" s="29">
        <v>25295000</v>
      </c>
      <c r="J188" s="29">
        <v>46546000</v>
      </c>
    </row>
    <row r="189" spans="1:10" ht="16" x14ac:dyDescent="0.2">
      <c r="A189" s="23" t="s">
        <v>190</v>
      </c>
      <c r="B189" s="24"/>
      <c r="C189" s="25">
        <f>(C188/B188)-1</f>
        <v>-11.062062529164722</v>
      </c>
      <c r="D189" s="25">
        <f>(D188/C188)-1</f>
        <v>-1.7528250552644189</v>
      </c>
      <c r="E189" s="25">
        <f>(E188/D188)-1</f>
        <v>-2.7063522212753721</v>
      </c>
      <c r="F189" s="25">
        <f t="shared" ref="F189:J189" si="8">(F188/E188)-1</f>
        <v>-1.645041727588344</v>
      </c>
      <c r="G189" s="25"/>
      <c r="H189" s="25">
        <f t="shared" si="8"/>
        <v>-2.6024463789843097</v>
      </c>
      <c r="I189" s="25">
        <f t="shared" si="8"/>
        <v>-0.73108162701197088</v>
      </c>
      <c r="J189" s="25">
        <f t="shared" si="8"/>
        <v>0.8401265072148647</v>
      </c>
    </row>
    <row r="190" spans="1:10" ht="16" x14ac:dyDescent="0.2">
      <c r="A190" s="26" t="s">
        <v>191</v>
      </c>
      <c r="B190" s="27">
        <f t="shared" ref="B190:J190" si="9">B188/B2</f>
        <v>0.12842204088970566</v>
      </c>
      <c r="C190" s="27">
        <f t="shared" si="9"/>
        <v>-1.4049692678583063</v>
      </c>
      <c r="D190" s="27">
        <f t="shared" si="9"/>
        <v>0.38663745023083368</v>
      </c>
      <c r="E190" s="27">
        <f t="shared" si="9"/>
        <v>-0.28011737500674183</v>
      </c>
      <c r="F190" s="27">
        <f t="shared" si="9"/>
        <v>0.10414070127208172</v>
      </c>
      <c r="G190" s="27">
        <f t="shared" si="9"/>
        <v>-0.24016414905978431</v>
      </c>
      <c r="H190" s="27">
        <f t="shared" si="9"/>
        <v>0.45592112916359689</v>
      </c>
      <c r="I190" s="27">
        <f t="shared" si="9"/>
        <v>9.4789660263664782E-2</v>
      </c>
      <c r="J190" s="27">
        <f t="shared" si="9"/>
        <v>0.14926387824408266</v>
      </c>
    </row>
    <row r="191" spans="1:10" ht="16" x14ac:dyDescent="0.2">
      <c r="A191" s="3" t="s">
        <v>178</v>
      </c>
      <c r="B191" s="4" t="s">
        <v>15</v>
      </c>
      <c r="C191" s="4">
        <v>-158943000</v>
      </c>
      <c r="D191" s="4">
        <v>64480000</v>
      </c>
      <c r="E191" s="4">
        <v>-166197000</v>
      </c>
      <c r="F191" s="5">
        <v>107204000</v>
      </c>
      <c r="G191" s="4">
        <v>-58699000</v>
      </c>
      <c r="H191" s="4">
        <v>94062000</v>
      </c>
      <c r="I191" s="4">
        <v>25295000</v>
      </c>
      <c r="J191" s="4">
        <v>46546000</v>
      </c>
    </row>
    <row r="192" spans="1:10" ht="16" x14ac:dyDescent="0.2">
      <c r="A192" s="3" t="s">
        <v>179</v>
      </c>
      <c r="B192" s="6">
        <v>0.25</v>
      </c>
      <c r="C192" s="6">
        <v>-2.5499999999999998</v>
      </c>
      <c r="D192" s="6">
        <v>1.92</v>
      </c>
      <c r="E192" s="6">
        <v>-3.07</v>
      </c>
      <c r="F192" s="7">
        <v>1.75</v>
      </c>
      <c r="G192" s="6">
        <v>-0.91</v>
      </c>
      <c r="H192" s="6">
        <v>1.62</v>
      </c>
      <c r="I192" s="6">
        <v>0.42</v>
      </c>
      <c r="J192" s="6">
        <v>0.75</v>
      </c>
    </row>
    <row r="193" spans="1:10" ht="16" x14ac:dyDescent="0.2">
      <c r="A193" s="3" t="s">
        <v>180</v>
      </c>
      <c r="B193" s="4" t="s">
        <v>15</v>
      </c>
      <c r="C193" s="4" t="s">
        <v>15</v>
      </c>
      <c r="D193" s="6">
        <v>4.09</v>
      </c>
      <c r="E193" s="6">
        <v>-4.7699999999999996</v>
      </c>
      <c r="F193" s="7">
        <v>15.96</v>
      </c>
      <c r="G193" s="6">
        <v>-4.51</v>
      </c>
      <c r="H193" s="6">
        <v>-9.44</v>
      </c>
      <c r="I193" s="6">
        <v>19.86</v>
      </c>
      <c r="J193" s="6">
        <v>16.690000000000001</v>
      </c>
    </row>
    <row r="194" spans="1:10" ht="16" x14ac:dyDescent="0.2">
      <c r="A194" s="3" t="s">
        <v>181</v>
      </c>
      <c r="B194" s="6">
        <v>-0.16</v>
      </c>
      <c r="C194" s="6">
        <v>1.1399999999999999</v>
      </c>
      <c r="D194" s="6">
        <v>-0.9</v>
      </c>
      <c r="E194" s="6">
        <v>1.88</v>
      </c>
      <c r="F194" s="7">
        <v>-5.85</v>
      </c>
      <c r="G194" s="6">
        <v>9.2799999999999994</v>
      </c>
      <c r="H194" s="6">
        <v>-14.05</v>
      </c>
      <c r="I194" s="6">
        <v>-5.12</v>
      </c>
      <c r="J194" s="6">
        <v>-12.63</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19 A191:J195 A2:J2 A9:J11 A13:J13 A37:J95 A130:J142 A144:J171 A188 A97:J104 A96 A106:J128 A105 A173:J187 A172:E172 G172:J172 A21:J33 A20:E20 G20:J2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A5568-A587-4349-8D64-F93F5EB06A57}">
  <dimension ref="A1:R110"/>
  <sheetViews>
    <sheetView tabSelected="1" workbookViewId="0">
      <selection activeCell="E20" sqref="E20"/>
    </sheetView>
  </sheetViews>
  <sheetFormatPr baseColWidth="10" defaultRowHeight="15" x14ac:dyDescent="0.2"/>
  <cols>
    <col min="1" max="19"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4" cm="1">
        <f t="array" ref="A3">_FV(A1,"Market cap",TRUE)</f>
        <v>28038923528</v>
      </c>
      <c r="B3" s="35" t="s">
        <v>192</v>
      </c>
      <c r="C3" s="98">
        <f>Financials!F8*0.01</f>
        <v>0.16289999999999999</v>
      </c>
      <c r="D3" s="35" t="s">
        <v>193</v>
      </c>
      <c r="E3" s="98">
        <f>SUM(C11:E11)/3</f>
        <v>1.3582108565611068</v>
      </c>
      <c r="F3" s="36" t="s">
        <v>194</v>
      </c>
      <c r="G3" s="37">
        <f>AVERAGE(Financials!E129:J129)</f>
        <v>3.7529829669100824E-2</v>
      </c>
      <c r="H3" s="36" t="s">
        <v>195</v>
      </c>
      <c r="I3" s="102">
        <f>J15*(1+I7)/(I6-I7)</f>
        <v>19709193163.492912</v>
      </c>
      <c r="J3" s="38" t="s">
        <v>196</v>
      </c>
      <c r="K3" s="107">
        <f>(Financials!F172*-1)/Model!A3</f>
        <v>0</v>
      </c>
      <c r="L3" s="39" t="s">
        <v>197</v>
      </c>
      <c r="M3" s="40"/>
      <c r="N3" s="118" t="s">
        <v>198</v>
      </c>
      <c r="O3" s="119"/>
      <c r="P3" s="40"/>
      <c r="Q3" s="40"/>
      <c r="R3" s="40"/>
    </row>
    <row r="4" spans="1:18" ht="22" customHeight="1" x14ac:dyDescent="0.2">
      <c r="A4" s="41">
        <f>Financials!F56-Financials!F96-Financials!F105</f>
        <v>510902890</v>
      </c>
      <c r="B4" s="42" t="s">
        <v>199</v>
      </c>
      <c r="C4" s="99">
        <f>Financials!F17*0.01</f>
        <v>-0.2172</v>
      </c>
      <c r="D4" s="42" t="s">
        <v>200</v>
      </c>
      <c r="E4" s="99">
        <f>SUM(C13:E13)/3</f>
        <v>-0.31117607761365029</v>
      </c>
      <c r="F4" s="43" t="s">
        <v>201</v>
      </c>
      <c r="G4" s="44">
        <f>A5*(1+(5*G3))</f>
        <v>661641240.78191769</v>
      </c>
      <c r="H4" s="43" t="s">
        <v>202</v>
      </c>
      <c r="I4" s="103">
        <f>NPV(I6,F15,G15,H15,I15,(J15+I3))</f>
        <v>15577582785.755531</v>
      </c>
      <c r="J4" s="43" t="s">
        <v>203</v>
      </c>
      <c r="K4" s="104" cm="1">
        <f t="array" ref="K4">_FV(A1,"Change (%)",TRUE)</f>
        <v>4.7451E-2</v>
      </c>
      <c r="L4" s="45" t="s">
        <v>204</v>
      </c>
      <c r="M4" s="40"/>
      <c r="N4" s="120" t="s">
        <v>205</v>
      </c>
      <c r="O4" s="121"/>
      <c r="P4" s="40"/>
      <c r="Q4" s="40"/>
      <c r="R4" s="40"/>
    </row>
    <row r="5" spans="1:18" ht="22" customHeight="1" x14ac:dyDescent="0.2">
      <c r="A5" s="41" cm="1">
        <f t="array" ref="A5">_FV(A1,"Shares outstanding",TRUE)</f>
        <v>557101600</v>
      </c>
      <c r="B5" s="42" t="s">
        <v>206</v>
      </c>
      <c r="C5" s="99">
        <f>F14</f>
        <v>7.3798627002288328E-2</v>
      </c>
      <c r="D5" s="46" t="s">
        <v>207</v>
      </c>
      <c r="E5" s="99">
        <f>SUM(C16:E16)/3</f>
        <v>3.3638574594261268</v>
      </c>
      <c r="F5" s="43" t="s">
        <v>208</v>
      </c>
      <c r="G5" s="44">
        <f>Financials!F56</f>
        <v>510903000</v>
      </c>
      <c r="H5" s="43" t="s">
        <v>209</v>
      </c>
      <c r="I5" s="103">
        <f>I4+G5-G6</f>
        <v>16088485675.755531</v>
      </c>
      <c r="J5" s="43" t="s">
        <v>210</v>
      </c>
      <c r="K5" s="108" cm="1">
        <f t="array" ref="K5">_FV(A1,"Price")</f>
        <v>50.33</v>
      </c>
      <c r="L5" s="47" t="s">
        <v>211</v>
      </c>
      <c r="M5" s="40"/>
      <c r="N5" s="48" t="s">
        <v>212</v>
      </c>
      <c r="O5" s="49">
        <f>Financials!F20</f>
        <v>10</v>
      </c>
      <c r="P5" s="40"/>
      <c r="Q5" s="40"/>
      <c r="R5" s="40"/>
    </row>
    <row r="6" spans="1:18" ht="22" customHeight="1" x14ac:dyDescent="0.2">
      <c r="A6" s="50">
        <f>O20/F10</f>
        <v>16.040574100686499</v>
      </c>
      <c r="B6" s="42" t="s">
        <v>213</v>
      </c>
      <c r="C6" s="99">
        <f>F17</f>
        <v>0.21647597254004577</v>
      </c>
      <c r="D6" s="46" t="s">
        <v>191</v>
      </c>
      <c r="E6" s="99">
        <f>Financials!F33/Financials!F126</f>
        <v>-1.0728583976700106</v>
      </c>
      <c r="F6" s="42" t="s">
        <v>214</v>
      </c>
      <c r="G6" s="44">
        <f>Financials!F96+Financials!F105</f>
        <v>110</v>
      </c>
      <c r="H6" s="43" t="s">
        <v>215</v>
      </c>
      <c r="I6" s="106">
        <f>N25</f>
        <v>9.8120699972103556E-2</v>
      </c>
      <c r="J6" s="43" t="s">
        <v>216</v>
      </c>
      <c r="K6" s="109">
        <f>I5/G4</f>
        <v>24.316026094054234</v>
      </c>
      <c r="L6" s="51" t="s">
        <v>217</v>
      </c>
      <c r="M6" s="40"/>
      <c r="N6" s="48" t="s">
        <v>218</v>
      </c>
      <c r="O6" s="49">
        <f>Financials!F96</f>
        <v>10</v>
      </c>
      <c r="P6" s="40"/>
      <c r="Q6" s="40"/>
      <c r="R6" s="40"/>
    </row>
    <row r="7" spans="1:18" ht="22" customHeight="1" thickBot="1" x14ac:dyDescent="0.25">
      <c r="A7" s="52">
        <f>O20/F12</f>
        <v>217.35599634108527</v>
      </c>
      <c r="B7" s="53" t="s">
        <v>219</v>
      </c>
      <c r="C7" s="100">
        <f>F15/A3</f>
        <v>1.3495525233774588E-2</v>
      </c>
      <c r="D7" s="53" t="s">
        <v>220</v>
      </c>
      <c r="E7" s="101">
        <f>(Financials!F16*(1-0.25))/(Financials!F126+Financials!F105+Financials!F96)</f>
        <v>-7.752826831355395</v>
      </c>
      <c r="F7" s="53" t="s">
        <v>187</v>
      </c>
      <c r="G7" s="54">
        <f>(Financials!F96+Financials!F105)/Financials!F126</f>
        <v>5.0852942536174934E-6</v>
      </c>
      <c r="H7" s="55" t="s">
        <v>221</v>
      </c>
      <c r="I7" s="105">
        <v>2.5000000000000001E-2</v>
      </c>
      <c r="J7" s="56" t="s">
        <v>222</v>
      </c>
      <c r="K7" s="110">
        <f>K6/K5-1</f>
        <v>-0.51686814833987216</v>
      </c>
      <c r="L7" s="57" t="s">
        <v>223</v>
      </c>
      <c r="M7" s="40"/>
      <c r="N7" s="48" t="s">
        <v>224</v>
      </c>
      <c r="O7" s="49">
        <f>Financials!F105</f>
        <v>100</v>
      </c>
      <c r="P7" s="40"/>
      <c r="Q7" s="40"/>
      <c r="R7" s="40"/>
    </row>
    <row r="8" spans="1:18" ht="22" customHeight="1" x14ac:dyDescent="0.2">
      <c r="A8" s="58"/>
      <c r="B8" s="40"/>
      <c r="C8" s="40"/>
      <c r="D8" s="40"/>
      <c r="E8" s="40"/>
      <c r="F8" s="96"/>
      <c r="G8" s="96"/>
      <c r="H8" s="96"/>
      <c r="I8" s="96"/>
      <c r="J8" s="97"/>
      <c r="K8" s="59"/>
      <c r="L8" s="59"/>
      <c r="M8" s="40"/>
      <c r="N8" s="60" t="s">
        <v>205</v>
      </c>
      <c r="O8" s="61">
        <f>O5/(O6+O7)</f>
        <v>9.0909090909090912E-2</v>
      </c>
      <c r="P8" s="40"/>
      <c r="Q8" s="40"/>
      <c r="R8" s="40"/>
    </row>
    <row r="9" spans="1:18" ht="22" customHeight="1" x14ac:dyDescent="0.2">
      <c r="A9" s="62"/>
      <c r="B9" s="63">
        <v>2020</v>
      </c>
      <c r="C9" s="63">
        <v>2021</v>
      </c>
      <c r="D9" s="63">
        <v>2022</v>
      </c>
      <c r="E9" s="64">
        <v>2023</v>
      </c>
      <c r="F9" s="65">
        <v>2024</v>
      </c>
      <c r="G9" s="66">
        <v>2025</v>
      </c>
      <c r="H9" s="66">
        <v>2026</v>
      </c>
      <c r="I9" s="66">
        <v>2027</v>
      </c>
      <c r="J9" s="67">
        <v>2028</v>
      </c>
      <c r="K9" s="59"/>
      <c r="L9" s="59"/>
      <c r="M9" s="59"/>
      <c r="N9" s="48" t="s">
        <v>225</v>
      </c>
      <c r="O9" s="49">
        <f>Financials!F25</f>
        <v>239000</v>
      </c>
      <c r="P9" s="40"/>
      <c r="Q9" s="40"/>
      <c r="R9" s="40"/>
    </row>
    <row r="10" spans="1:18" ht="22" customHeight="1" x14ac:dyDescent="0.2">
      <c r="A10" s="68" t="s">
        <v>226</v>
      </c>
      <c r="B10" s="69">
        <v>92086000</v>
      </c>
      <c r="C10" s="69">
        <v>251913000</v>
      </c>
      <c r="D10" s="69">
        <v>593312000</v>
      </c>
      <c r="E10" s="70">
        <v>1177000000</v>
      </c>
      <c r="F10" s="69">
        <v>1748000000</v>
      </c>
      <c r="G10" s="69">
        <v>2500000000</v>
      </c>
      <c r="H10" s="69">
        <v>3050000000</v>
      </c>
      <c r="I10" s="69">
        <v>3638000000</v>
      </c>
      <c r="J10" s="70">
        <v>4409000000</v>
      </c>
      <c r="K10" s="71" t="s">
        <v>227</v>
      </c>
      <c r="L10" s="59"/>
      <c r="N10" s="48" t="s">
        <v>228</v>
      </c>
      <c r="O10" s="49">
        <f>Financials!F24</f>
        <v>-215498000</v>
      </c>
      <c r="P10" s="40"/>
      <c r="Q10" s="40"/>
      <c r="R10" s="40"/>
    </row>
    <row r="11" spans="1:18" ht="22" customHeight="1" x14ac:dyDescent="0.2">
      <c r="A11" s="72"/>
      <c r="B11" s="73"/>
      <c r="C11" s="73">
        <f t="shared" ref="C11:J11" si="0">(C10/B10)-1</f>
        <v>1.7356275655365638</v>
      </c>
      <c r="D11" s="73">
        <f t="shared" si="0"/>
        <v>1.3552258120859184</v>
      </c>
      <c r="E11" s="73">
        <f t="shared" si="0"/>
        <v>0.98377919206083808</v>
      </c>
      <c r="F11" s="74">
        <f t="shared" si="0"/>
        <v>0.4851316907391674</v>
      </c>
      <c r="G11" s="73">
        <f t="shared" si="0"/>
        <v>0.43020594965675052</v>
      </c>
      <c r="H11" s="73">
        <f t="shared" si="0"/>
        <v>0.21999999999999997</v>
      </c>
      <c r="I11" s="73">
        <f t="shared" si="0"/>
        <v>0.1927868852459016</v>
      </c>
      <c r="J11" s="75">
        <f t="shared" si="0"/>
        <v>0.21192963166575041</v>
      </c>
      <c r="K11" s="75">
        <f>SUM(F11:J11)/5</f>
        <v>0.30801083146151398</v>
      </c>
      <c r="L11" s="59"/>
      <c r="M11" s="59"/>
      <c r="N11" s="48" t="s">
        <v>229</v>
      </c>
      <c r="O11" s="76">
        <f>O9/O10</f>
        <v>-1.1090590167890189E-3</v>
      </c>
      <c r="P11" s="40"/>
      <c r="Q11" s="40"/>
      <c r="R11" s="40"/>
    </row>
    <row r="12" spans="1:18" ht="22" customHeight="1" x14ac:dyDescent="0.2">
      <c r="A12" s="68" t="s">
        <v>133</v>
      </c>
      <c r="B12" s="69">
        <v>-109521000</v>
      </c>
      <c r="C12" s="69">
        <v>-122314000</v>
      </c>
      <c r="D12" s="69">
        <v>-78997000</v>
      </c>
      <c r="E12" s="69">
        <v>-24000000</v>
      </c>
      <c r="F12" s="77">
        <v>129000000</v>
      </c>
      <c r="G12" s="69">
        <v>341000000</v>
      </c>
      <c r="H12" s="69">
        <v>550000000</v>
      </c>
      <c r="I12" s="69">
        <v>621000000</v>
      </c>
      <c r="J12" s="70">
        <v>800000000</v>
      </c>
      <c r="K12" s="78" t="s">
        <v>230</v>
      </c>
      <c r="L12" s="59"/>
      <c r="M12" s="59"/>
      <c r="N12" s="48" t="s">
        <v>231</v>
      </c>
      <c r="O12" s="76">
        <f>O8*(1-O11)</f>
        <v>9.1009914456071733E-2</v>
      </c>
      <c r="P12" s="40"/>
      <c r="Q12" s="40"/>
      <c r="R12" s="40"/>
    </row>
    <row r="13" spans="1:18" ht="22" customHeight="1" x14ac:dyDescent="0.2">
      <c r="A13" s="72"/>
      <c r="B13" s="73"/>
      <c r="C13" s="73">
        <f t="shared" ref="C13:J13" si="1">(C12/B12)-1</f>
        <v>0.11680864856968065</v>
      </c>
      <c r="D13" s="73">
        <f t="shared" si="1"/>
        <v>-0.35414588681590009</v>
      </c>
      <c r="E13" s="73">
        <f t="shared" si="1"/>
        <v>-0.69619099459473144</v>
      </c>
      <c r="F13" s="74">
        <f t="shared" si="1"/>
        <v>-6.375</v>
      </c>
      <c r="G13" s="73">
        <f t="shared" si="1"/>
        <v>1.6434108527131781</v>
      </c>
      <c r="H13" s="73">
        <f t="shared" si="1"/>
        <v>0.61290322580645151</v>
      </c>
      <c r="I13" s="73">
        <f t="shared" si="1"/>
        <v>0.12909090909090915</v>
      </c>
      <c r="J13" s="75">
        <f t="shared" si="1"/>
        <v>0.28824476650563602</v>
      </c>
      <c r="K13" s="75">
        <f>AVERAGE(G13:J13)</f>
        <v>0.66841243852904364</v>
      </c>
      <c r="L13" s="59"/>
      <c r="M13" s="59"/>
      <c r="N13" s="120" t="s">
        <v>232</v>
      </c>
      <c r="O13" s="121"/>
      <c r="P13" s="40"/>
      <c r="Q13" s="40"/>
      <c r="R13" s="40"/>
    </row>
    <row r="14" spans="1:18" ht="22" customHeight="1" x14ac:dyDescent="0.2">
      <c r="A14" s="79" t="s">
        <v>233</v>
      </c>
      <c r="B14" s="80">
        <f>B12/B10</f>
        <v>-1.189333883543644</v>
      </c>
      <c r="C14" s="80">
        <f t="shared" ref="C14:J14" si="2">C12/C10</f>
        <v>-0.48554064299976579</v>
      </c>
      <c r="D14" s="80">
        <f t="shared" si="2"/>
        <v>-0.13314579850062025</v>
      </c>
      <c r="E14" s="80">
        <f t="shared" si="2"/>
        <v>-2.0390824129141887E-2</v>
      </c>
      <c r="F14" s="81">
        <f t="shared" si="2"/>
        <v>7.3798627002288328E-2</v>
      </c>
      <c r="G14" s="80">
        <f t="shared" si="2"/>
        <v>0.13639999999999999</v>
      </c>
      <c r="H14" s="80">
        <f t="shared" si="2"/>
        <v>0.18032786885245902</v>
      </c>
      <c r="I14" s="80">
        <f t="shared" si="2"/>
        <v>0.17069818581638263</v>
      </c>
      <c r="J14" s="82">
        <f t="shared" si="2"/>
        <v>0.18144704014515764</v>
      </c>
      <c r="K14" s="82"/>
      <c r="L14" s="59"/>
      <c r="M14" s="59"/>
      <c r="N14" s="48" t="s">
        <v>234</v>
      </c>
      <c r="O14" s="76">
        <f>'[1]US Treasury Bonds'!$C$8</f>
        <v>4.1210000000000004E-2</v>
      </c>
      <c r="P14" s="40"/>
      <c r="Q14" s="40"/>
      <c r="R14" s="40"/>
    </row>
    <row r="15" spans="1:18" ht="22" customHeight="1" x14ac:dyDescent="0.2">
      <c r="A15" s="68" t="s">
        <v>176</v>
      </c>
      <c r="B15" s="69">
        <v>-41537000</v>
      </c>
      <c r="C15" s="69">
        <v>4777000</v>
      </c>
      <c r="D15" s="69">
        <v>11135000</v>
      </c>
      <c r="E15" s="69">
        <v>121100000</v>
      </c>
      <c r="F15" s="77">
        <v>378400000</v>
      </c>
      <c r="G15" s="69">
        <v>650000000</v>
      </c>
      <c r="H15" s="69">
        <v>900000000</v>
      </c>
      <c r="I15" s="69">
        <v>1150000000</v>
      </c>
      <c r="J15" s="70">
        <v>1406000000</v>
      </c>
      <c r="K15" s="78" t="s">
        <v>235</v>
      </c>
      <c r="L15" s="59"/>
      <c r="M15" s="59"/>
      <c r="N15" s="48" t="s">
        <v>236</v>
      </c>
      <c r="O15" s="83">
        <f>1.33</f>
        <v>1.33</v>
      </c>
      <c r="P15" s="40"/>
      <c r="Q15" s="40"/>
      <c r="R15" s="40"/>
    </row>
    <row r="16" spans="1:18" ht="22" customHeight="1" x14ac:dyDescent="0.2">
      <c r="A16" s="84"/>
      <c r="B16" s="73"/>
      <c r="C16" s="73">
        <f t="shared" ref="C16:J16" si="3">(C15/B15)-1</f>
        <v>-1.115005898355683</v>
      </c>
      <c r="D16" s="73">
        <f t="shared" si="3"/>
        <v>1.3309608540925266</v>
      </c>
      <c r="E16" s="73">
        <f t="shared" si="3"/>
        <v>9.8756174225415361</v>
      </c>
      <c r="F16" s="74">
        <f t="shared" si="3"/>
        <v>2.124690338563171</v>
      </c>
      <c r="G16" s="73">
        <f t="shared" si="3"/>
        <v>0.71775898520084569</v>
      </c>
      <c r="H16" s="73">
        <f t="shared" si="3"/>
        <v>0.38461538461538458</v>
      </c>
      <c r="I16" s="73">
        <f t="shared" si="3"/>
        <v>0.27777777777777768</v>
      </c>
      <c r="J16" s="75">
        <f t="shared" si="3"/>
        <v>0.222608695652174</v>
      </c>
      <c r="K16" s="75">
        <f>AVERAGE(G16:J16)</f>
        <v>0.40069021081154549</v>
      </c>
      <c r="L16" s="59"/>
      <c r="M16" s="59"/>
      <c r="N16" s="48" t="s">
        <v>237</v>
      </c>
      <c r="O16" s="76">
        <v>8.4000000000000005E-2</v>
      </c>
      <c r="P16" s="40"/>
      <c r="Q16" s="40"/>
      <c r="R16" s="40"/>
    </row>
    <row r="17" spans="1:18" ht="22" customHeight="1" x14ac:dyDescent="0.2">
      <c r="A17" s="79" t="s">
        <v>191</v>
      </c>
      <c r="B17" s="80">
        <f>B15/B10</f>
        <v>-0.45106748039875766</v>
      </c>
      <c r="C17" s="80">
        <f t="shared" ref="C17:J17" si="4">C15/C10</f>
        <v>1.8962895920416969E-2</v>
      </c>
      <c r="D17" s="80">
        <f t="shared" si="4"/>
        <v>1.8767528720133757E-2</v>
      </c>
      <c r="E17" s="82">
        <f t="shared" si="4"/>
        <v>0.10288870008496177</v>
      </c>
      <c r="F17" s="80">
        <f t="shared" si="4"/>
        <v>0.21647597254004577</v>
      </c>
      <c r="G17" s="80">
        <f t="shared" si="4"/>
        <v>0.26</v>
      </c>
      <c r="H17" s="80">
        <f t="shared" si="4"/>
        <v>0.29508196721311475</v>
      </c>
      <c r="I17" s="80">
        <f t="shared" si="4"/>
        <v>0.31610775151181969</v>
      </c>
      <c r="J17" s="82">
        <f t="shared" si="4"/>
        <v>0.31889317305511455</v>
      </c>
      <c r="K17" s="82"/>
      <c r="L17" s="59"/>
      <c r="M17" s="59"/>
      <c r="N17" s="85" t="s">
        <v>232</v>
      </c>
      <c r="O17" s="86">
        <f>(O14)+((O15)*(O16-O14))</f>
        <v>9.8120700000000005E-2</v>
      </c>
      <c r="P17" s="40"/>
      <c r="Q17" s="40"/>
      <c r="R17" s="40"/>
    </row>
    <row r="18" spans="1:18" ht="22" customHeight="1" x14ac:dyDescent="0.2">
      <c r="A18" s="87" t="s">
        <v>187</v>
      </c>
      <c r="B18" s="88">
        <v>9.8029585525544513E-2</v>
      </c>
      <c r="C18" s="88">
        <v>8.2450091086462077E-2</v>
      </c>
      <c r="D18" s="88">
        <v>-1.5271431679721497</v>
      </c>
      <c r="E18" s="88">
        <v>0</v>
      </c>
      <c r="F18" s="89"/>
      <c r="G18" s="88"/>
      <c r="H18" s="88"/>
      <c r="I18" s="88"/>
      <c r="J18" s="90"/>
      <c r="K18" s="91"/>
      <c r="L18" s="59"/>
      <c r="M18" s="59"/>
      <c r="N18" s="120" t="s">
        <v>238</v>
      </c>
      <c r="O18" s="121"/>
      <c r="P18" s="40"/>
      <c r="Q18" s="40"/>
      <c r="R18" s="40"/>
    </row>
    <row r="19" spans="1:18" ht="22" customHeight="1" x14ac:dyDescent="0.2">
      <c r="A19" s="59"/>
      <c r="B19" s="59"/>
      <c r="C19" s="59"/>
      <c r="D19" s="59"/>
      <c r="E19" s="59"/>
      <c r="F19" s="59" t="s">
        <v>239</v>
      </c>
      <c r="G19" s="59"/>
      <c r="H19" s="59"/>
      <c r="I19" s="59"/>
      <c r="J19" s="59"/>
      <c r="K19" s="59"/>
      <c r="L19" s="59"/>
      <c r="M19" s="59"/>
      <c r="N19" s="48" t="s">
        <v>215</v>
      </c>
      <c r="O19" s="92">
        <f>O6+O7</f>
        <v>110</v>
      </c>
      <c r="P19" s="40"/>
      <c r="Q19" s="40"/>
      <c r="R19" s="40"/>
    </row>
    <row r="20" spans="1:18" ht="22" customHeight="1" x14ac:dyDescent="0.2">
      <c r="B20" s="93"/>
      <c r="C20" s="93"/>
      <c r="D20" s="93"/>
      <c r="E20" s="93"/>
      <c r="F20" s="59"/>
      <c r="G20" s="59"/>
      <c r="H20" s="59"/>
      <c r="I20" s="59"/>
      <c r="J20" s="59"/>
      <c r="K20" s="59"/>
      <c r="L20" s="59"/>
      <c r="M20" s="59"/>
      <c r="N20" s="48" t="s">
        <v>192</v>
      </c>
      <c r="O20" s="92">
        <f>A3</f>
        <v>28038923528</v>
      </c>
      <c r="P20" s="40"/>
      <c r="Q20" s="40"/>
      <c r="R20" s="40"/>
    </row>
    <row r="21" spans="1:18" ht="22" customHeight="1" x14ac:dyDescent="0.2">
      <c r="A21" s="123" t="str" cm="1">
        <f t="array" ref="A21">_FV(A1,"Industry")</f>
        <v>Machinery, Equipment &amp; Components</v>
      </c>
      <c r="B21" s="123"/>
      <c r="C21" s="123"/>
      <c r="D21" s="122" cm="1">
        <f t="array" ref="D21">_FV(A1,"Year incorporated",TRUE)</f>
        <v>2022</v>
      </c>
      <c r="E21" s="122"/>
      <c r="F21" s="59"/>
      <c r="G21" s="59"/>
      <c r="H21" s="59"/>
      <c r="I21" s="59"/>
      <c r="J21" s="59"/>
      <c r="K21" s="59"/>
      <c r="M21" s="59"/>
      <c r="N21" s="48" t="s">
        <v>240</v>
      </c>
      <c r="O21" s="92">
        <f>O19+O20</f>
        <v>28038923638</v>
      </c>
      <c r="P21" s="40"/>
      <c r="Q21" s="40"/>
      <c r="R21" s="40"/>
    </row>
    <row r="22" spans="1:18" ht="22" customHeight="1" x14ac:dyDescent="0.2">
      <c r="A22" s="111" t="str" cm="1">
        <f t="array" ref="A22">_FV(A1,"Description")</f>
        <v>Symbotic Inc. is focused on artificial intelligence (AI)-enabled robotics automation technology for the supply chain. The Company is engaged in developing, commercializing, and deploying end-to-end technology solutions that improve supply chain operations. It automates the processing of pallets and cases in warehouses or distribution centers for some of the retail companies in the world. Its platform is based on an approach to connecting producers of goods to end users in a way that resolves the mismatches of quantity, timing and location that arise between the two, while reducing costs. It utilizes fully autonomous robots, collectively controlled by its AI. With its A.I.-powered robotic technology platform, it is changing the way consumer goods move through the supply chain. It serves various industries, including retail grocery, retail general merchandise, food wholesale, footwear and apparel, consumer packaged goods and food and beverage.</v>
      </c>
      <c r="B22" s="111"/>
      <c r="C22" s="111"/>
      <c r="D22" s="111"/>
      <c r="E22" s="111"/>
      <c r="F22" s="59"/>
      <c r="G22" s="59"/>
      <c r="H22" s="59"/>
      <c r="I22" s="59"/>
      <c r="J22" s="59"/>
      <c r="K22" s="59"/>
      <c r="L22" s="59"/>
      <c r="M22" s="59"/>
      <c r="N22" s="60" t="s">
        <v>241</v>
      </c>
      <c r="O22" s="94">
        <f>(O19/O21)</f>
        <v>3.9231177851250155E-9</v>
      </c>
      <c r="P22" s="40"/>
      <c r="Q22" s="40"/>
      <c r="R22" s="40"/>
    </row>
    <row r="23" spans="1:18" ht="22" customHeight="1" x14ac:dyDescent="0.2">
      <c r="A23" s="111"/>
      <c r="B23" s="111"/>
      <c r="C23" s="111"/>
      <c r="D23" s="111"/>
      <c r="E23" s="111"/>
      <c r="F23" s="59"/>
      <c r="G23" s="59"/>
      <c r="H23" s="59"/>
      <c r="I23" s="59"/>
      <c r="J23" s="59"/>
      <c r="K23" s="59"/>
      <c r="L23" s="59"/>
      <c r="M23" s="59"/>
      <c r="N23" s="85" t="s">
        <v>242</v>
      </c>
      <c r="O23" s="95">
        <f>O20/O21</f>
        <v>0.99999999607688217</v>
      </c>
      <c r="P23" s="40"/>
      <c r="Q23" s="40"/>
      <c r="R23" s="40"/>
    </row>
    <row r="24" spans="1:18" ht="22" customHeight="1" x14ac:dyDescent="0.2">
      <c r="A24" s="111"/>
      <c r="B24" s="111"/>
      <c r="C24" s="111"/>
      <c r="D24" s="111"/>
      <c r="E24" s="111"/>
      <c r="F24" s="59"/>
      <c r="G24" s="59"/>
      <c r="H24" s="59"/>
      <c r="I24" s="59"/>
      <c r="J24" s="59"/>
      <c r="K24" s="59"/>
      <c r="L24" s="59"/>
      <c r="M24" s="59"/>
      <c r="N24" s="112" t="s">
        <v>243</v>
      </c>
      <c r="O24" s="113"/>
      <c r="P24" s="40"/>
      <c r="Q24" s="40"/>
      <c r="R24" s="40"/>
    </row>
    <row r="25" spans="1:18" ht="22" customHeight="1" x14ac:dyDescent="0.2">
      <c r="A25" s="111"/>
      <c r="B25" s="111"/>
      <c r="C25" s="111"/>
      <c r="D25" s="111"/>
      <c r="E25" s="111"/>
      <c r="F25" s="59"/>
      <c r="G25" s="59"/>
      <c r="H25" s="59"/>
      <c r="I25" s="59"/>
      <c r="J25" s="59"/>
      <c r="K25" s="59"/>
      <c r="L25" s="59"/>
      <c r="M25" s="59"/>
      <c r="N25" s="114">
        <f>(O22*O12)+(O23*O17)</f>
        <v>9.8120699972103556E-2</v>
      </c>
      <c r="O25" s="115"/>
      <c r="P25" s="40"/>
      <c r="Q25" s="40"/>
      <c r="R25" s="40"/>
    </row>
    <row r="26" spans="1:18" ht="22" customHeight="1" x14ac:dyDescent="0.2">
      <c r="A26" s="111"/>
      <c r="B26" s="111"/>
      <c r="C26" s="111"/>
      <c r="D26" s="111"/>
      <c r="E26" s="111"/>
      <c r="F26" s="59"/>
      <c r="G26" s="59"/>
      <c r="H26" s="59"/>
      <c r="I26" s="59"/>
      <c r="J26" s="59"/>
      <c r="K26" s="59"/>
      <c r="L26" s="59"/>
      <c r="M26" s="59"/>
      <c r="N26" s="59"/>
      <c r="O26" s="40"/>
      <c r="P26" s="40"/>
      <c r="Q26" s="40"/>
      <c r="R26" s="40"/>
    </row>
    <row r="27" spans="1:18" ht="22" customHeight="1" x14ac:dyDescent="0.2">
      <c r="A27" s="111"/>
      <c r="B27" s="111"/>
      <c r="C27" s="111"/>
      <c r="D27" s="111"/>
      <c r="E27" s="111"/>
      <c r="F27" s="59"/>
      <c r="G27" s="59"/>
      <c r="H27" s="59"/>
      <c r="I27" s="59"/>
      <c r="J27" s="59"/>
      <c r="K27" s="59"/>
      <c r="L27" s="59"/>
      <c r="M27" s="59"/>
      <c r="N27" s="59"/>
      <c r="O27" s="40"/>
      <c r="P27" s="40"/>
      <c r="Q27" s="40"/>
      <c r="R27" s="40"/>
    </row>
    <row r="28" spans="1:18" ht="22" customHeight="1" x14ac:dyDescent="0.2">
      <c r="A28" s="111"/>
      <c r="B28" s="111"/>
      <c r="C28" s="111"/>
      <c r="D28" s="111"/>
      <c r="E28" s="111"/>
      <c r="F28" s="59"/>
      <c r="G28" s="59"/>
      <c r="H28" s="59"/>
      <c r="I28" s="59"/>
      <c r="J28" s="59"/>
      <c r="K28" s="59"/>
      <c r="L28" s="59"/>
      <c r="M28" s="59"/>
      <c r="N28" s="59"/>
      <c r="O28" s="40"/>
      <c r="P28" s="40"/>
      <c r="Q28" s="40"/>
      <c r="R28" s="40"/>
    </row>
    <row r="29" spans="1:18" ht="22" customHeight="1" x14ac:dyDescent="0.2">
      <c r="A29" s="111"/>
      <c r="B29" s="111"/>
      <c r="C29" s="111"/>
      <c r="D29" s="111"/>
      <c r="E29" s="111"/>
      <c r="F29" s="59"/>
      <c r="G29" s="59"/>
      <c r="H29" s="59"/>
      <c r="I29" s="59"/>
      <c r="J29" s="59"/>
      <c r="K29" s="59"/>
      <c r="L29" s="59"/>
      <c r="M29" s="59"/>
      <c r="N29" s="59"/>
      <c r="O29" s="40"/>
      <c r="P29" s="40"/>
      <c r="Q29" s="40"/>
      <c r="R29" s="40"/>
    </row>
    <row r="30" spans="1:18" ht="22" customHeight="1" x14ac:dyDescent="0.2">
      <c r="A30" s="111"/>
      <c r="B30" s="111"/>
      <c r="C30" s="111"/>
      <c r="D30" s="111"/>
      <c r="E30" s="111"/>
      <c r="F30" s="59"/>
      <c r="G30" s="59"/>
      <c r="H30" s="59"/>
      <c r="I30" s="59"/>
      <c r="J30" s="59"/>
      <c r="K30" s="59"/>
      <c r="L30" s="59"/>
      <c r="M30" s="59"/>
      <c r="N30" s="59"/>
      <c r="O30" s="40"/>
      <c r="P30" s="40"/>
      <c r="Q30" s="40"/>
      <c r="R30" s="40"/>
    </row>
    <row r="31" spans="1:18" x14ac:dyDescent="0.2">
      <c r="A31" s="40"/>
      <c r="B31" s="40"/>
      <c r="C31" s="40"/>
      <c r="D31" s="40"/>
      <c r="E31" s="40"/>
      <c r="F31" s="40"/>
      <c r="G31" s="40"/>
      <c r="H31" s="40"/>
      <c r="I31" s="40"/>
      <c r="J31" s="40"/>
      <c r="K31" s="40"/>
      <c r="L31" s="40"/>
      <c r="M31" s="40"/>
      <c r="N31" s="40"/>
      <c r="O31" s="40"/>
      <c r="P31" s="40"/>
      <c r="Q31" s="40"/>
      <c r="R31" s="40"/>
    </row>
    <row r="32" spans="1:18" x14ac:dyDescent="0.2">
      <c r="A32" s="40"/>
      <c r="B32" s="40"/>
      <c r="C32" s="40"/>
      <c r="D32" s="40"/>
      <c r="E32" s="40"/>
      <c r="F32" s="40"/>
      <c r="G32" s="40"/>
      <c r="H32" s="40"/>
      <c r="I32" s="40"/>
      <c r="J32" s="40"/>
      <c r="K32" s="40"/>
      <c r="L32" s="40"/>
      <c r="M32" s="40"/>
      <c r="N32" s="40"/>
      <c r="O32" s="40"/>
      <c r="P32" s="40"/>
      <c r="Q32" s="40"/>
      <c r="R32" s="40"/>
    </row>
    <row r="33" spans="1:18" x14ac:dyDescent="0.2">
      <c r="A33" s="59"/>
      <c r="B33" s="59"/>
      <c r="C33" s="59"/>
      <c r="D33" s="59"/>
      <c r="E33" s="59"/>
      <c r="F33" s="59"/>
      <c r="G33" s="59"/>
      <c r="H33" s="59"/>
      <c r="I33" s="59"/>
      <c r="J33" s="59"/>
      <c r="K33" s="59"/>
      <c r="L33" s="59"/>
      <c r="M33" s="59"/>
      <c r="N33" s="59"/>
      <c r="O33" s="59"/>
      <c r="P33" s="59"/>
      <c r="Q33" s="59"/>
      <c r="R33" s="59"/>
    </row>
    <row r="34" spans="1:18" x14ac:dyDescent="0.2">
      <c r="A34" s="59"/>
      <c r="B34" s="59"/>
      <c r="C34" s="59"/>
      <c r="D34" s="59"/>
      <c r="E34" s="59"/>
      <c r="F34" s="59"/>
      <c r="G34" s="59"/>
      <c r="H34" s="59"/>
      <c r="I34" s="59"/>
      <c r="J34" s="59"/>
      <c r="K34" s="59"/>
      <c r="L34" s="59"/>
      <c r="M34" s="59"/>
      <c r="N34" s="59"/>
      <c r="O34" s="59"/>
      <c r="P34" s="59"/>
      <c r="Q34" s="59"/>
      <c r="R34" s="59"/>
    </row>
    <row r="35" spans="1:18" x14ac:dyDescent="0.2">
      <c r="A35" s="59"/>
      <c r="B35" s="59"/>
      <c r="C35" s="59"/>
      <c r="D35" s="59"/>
      <c r="E35" s="59"/>
      <c r="F35" s="59"/>
      <c r="G35" s="59"/>
      <c r="H35" s="59"/>
      <c r="I35" s="59"/>
      <c r="J35" s="59"/>
      <c r="K35" s="59"/>
      <c r="L35" s="59"/>
      <c r="M35" s="59"/>
      <c r="N35" s="59"/>
      <c r="O35" s="59"/>
      <c r="P35" s="59"/>
      <c r="Q35" s="59"/>
      <c r="R35" s="59"/>
    </row>
    <row r="36" spans="1:18" x14ac:dyDescent="0.2">
      <c r="A36" s="59"/>
      <c r="B36" s="59"/>
      <c r="C36" s="59"/>
      <c r="D36" s="59"/>
      <c r="E36" s="59"/>
      <c r="F36" s="59"/>
      <c r="G36" s="59"/>
      <c r="H36" s="59"/>
      <c r="I36" s="59"/>
      <c r="J36" s="59"/>
      <c r="K36" s="59"/>
      <c r="L36" s="59"/>
      <c r="M36" s="59"/>
      <c r="N36" s="59"/>
      <c r="O36" s="59"/>
      <c r="P36" s="59"/>
      <c r="Q36" s="59"/>
      <c r="R36" s="59"/>
    </row>
    <row r="37" spans="1:18" x14ac:dyDescent="0.2">
      <c r="A37" s="59"/>
      <c r="B37" s="59"/>
      <c r="C37" s="59"/>
      <c r="D37" s="59"/>
      <c r="E37" s="59"/>
      <c r="F37" s="59"/>
      <c r="G37" s="59"/>
      <c r="H37" s="59"/>
      <c r="I37" s="59"/>
      <c r="J37" s="59"/>
      <c r="K37" s="59"/>
      <c r="L37" s="59"/>
      <c r="M37" s="59"/>
      <c r="N37" s="59"/>
      <c r="O37" s="59"/>
      <c r="P37" s="59"/>
      <c r="Q37" s="59"/>
      <c r="R37" s="59"/>
    </row>
    <row r="38" spans="1:18" x14ac:dyDescent="0.2">
      <c r="A38" s="59"/>
      <c r="B38" s="59"/>
      <c r="C38" s="59"/>
      <c r="D38" s="59"/>
      <c r="E38" s="59"/>
      <c r="F38" s="59"/>
      <c r="G38" s="59"/>
      <c r="H38" s="59"/>
      <c r="I38" s="59"/>
      <c r="J38" s="59"/>
      <c r="K38" s="59"/>
      <c r="L38" s="59"/>
      <c r="M38" s="59"/>
      <c r="N38" s="59"/>
      <c r="O38" s="59"/>
      <c r="P38" s="59"/>
      <c r="Q38" s="59"/>
      <c r="R38" s="59"/>
    </row>
    <row r="39" spans="1:18" x14ac:dyDescent="0.2">
      <c r="A39" s="59"/>
      <c r="B39" s="59"/>
      <c r="C39" s="59"/>
      <c r="D39" s="59"/>
      <c r="E39" s="59"/>
      <c r="F39" s="59"/>
      <c r="G39" s="59"/>
      <c r="H39" s="59"/>
      <c r="I39" s="59"/>
      <c r="J39" s="59"/>
      <c r="K39" s="59"/>
      <c r="L39" s="59"/>
      <c r="M39" s="59"/>
      <c r="N39" s="59"/>
      <c r="O39" s="59"/>
      <c r="P39" s="59"/>
      <c r="Q39" s="59"/>
      <c r="R39" s="59"/>
    </row>
    <row r="40" spans="1:18" x14ac:dyDescent="0.2">
      <c r="A40" s="59"/>
      <c r="B40" s="59"/>
      <c r="C40" s="59"/>
      <c r="D40" s="59"/>
      <c r="E40" s="59"/>
      <c r="F40" s="59"/>
      <c r="G40" s="59"/>
      <c r="H40" s="59"/>
      <c r="I40" s="59"/>
      <c r="J40" s="59"/>
      <c r="K40" s="59"/>
      <c r="L40" s="59"/>
      <c r="M40" s="59"/>
      <c r="N40" s="59"/>
      <c r="O40" s="59"/>
      <c r="P40" s="59"/>
      <c r="Q40" s="59"/>
      <c r="R40" s="59"/>
    </row>
    <row r="41" spans="1:18" x14ac:dyDescent="0.2">
      <c r="A41" s="59"/>
      <c r="B41" s="59"/>
      <c r="C41" s="59"/>
      <c r="D41" s="59"/>
      <c r="E41" s="59"/>
      <c r="F41" s="59"/>
      <c r="G41" s="59"/>
      <c r="H41" s="59"/>
      <c r="I41" s="59"/>
      <c r="J41" s="59"/>
      <c r="K41" s="59"/>
      <c r="L41" s="59"/>
      <c r="M41" s="59"/>
      <c r="N41" s="59"/>
      <c r="O41" s="59"/>
      <c r="P41" s="59"/>
      <c r="Q41" s="59"/>
      <c r="R41" s="59"/>
    </row>
    <row r="42" spans="1:18" x14ac:dyDescent="0.2">
      <c r="A42" s="59"/>
      <c r="B42" s="59"/>
      <c r="C42" s="59"/>
      <c r="D42" s="59"/>
      <c r="E42" s="59"/>
      <c r="F42" s="59"/>
      <c r="G42" s="59"/>
      <c r="H42" s="59"/>
      <c r="I42" s="59"/>
      <c r="J42" s="59"/>
      <c r="K42" s="59"/>
      <c r="L42" s="59"/>
      <c r="M42" s="59"/>
      <c r="N42" s="59"/>
      <c r="O42" s="59"/>
      <c r="P42" s="59"/>
      <c r="Q42" s="59"/>
      <c r="R42" s="59"/>
    </row>
    <row r="43" spans="1:18" x14ac:dyDescent="0.2">
      <c r="A43" s="59"/>
      <c r="B43" s="59"/>
      <c r="C43" s="59"/>
      <c r="D43" s="59"/>
      <c r="E43" s="59"/>
      <c r="F43" s="59"/>
      <c r="G43" s="59"/>
      <c r="H43" s="59"/>
      <c r="I43" s="59"/>
      <c r="J43" s="59"/>
      <c r="K43" s="59"/>
      <c r="L43" s="59"/>
      <c r="M43" s="59"/>
      <c r="N43" s="59"/>
      <c r="O43" s="59"/>
      <c r="P43" s="59"/>
      <c r="Q43" s="59"/>
      <c r="R43" s="59"/>
    </row>
    <row r="44" spans="1:18" x14ac:dyDescent="0.2">
      <c r="A44" s="59"/>
      <c r="B44" s="59"/>
      <c r="C44" s="59"/>
      <c r="D44" s="59"/>
      <c r="E44" s="59"/>
      <c r="F44" s="59"/>
      <c r="G44" s="59"/>
      <c r="H44" s="59"/>
      <c r="I44" s="59"/>
      <c r="J44" s="59"/>
      <c r="K44" s="59"/>
      <c r="L44" s="59"/>
      <c r="M44" s="59"/>
      <c r="N44" s="59"/>
      <c r="O44" s="59"/>
      <c r="P44" s="59"/>
      <c r="Q44" s="59"/>
      <c r="R44" s="59"/>
    </row>
    <row r="45" spans="1:18" x14ac:dyDescent="0.2">
      <c r="A45" s="59"/>
      <c r="B45" s="59"/>
      <c r="C45" s="59"/>
      <c r="D45" s="59"/>
      <c r="E45" s="59"/>
      <c r="F45" s="59"/>
      <c r="G45" s="59"/>
      <c r="H45" s="59"/>
      <c r="I45" s="59"/>
      <c r="J45" s="59"/>
      <c r="K45" s="59"/>
      <c r="L45" s="59"/>
      <c r="M45" s="59"/>
      <c r="N45" s="59"/>
      <c r="O45" s="59"/>
      <c r="P45" s="59"/>
      <c r="Q45" s="59"/>
      <c r="R45" s="59"/>
    </row>
    <row r="46" spans="1:18" x14ac:dyDescent="0.2">
      <c r="A46" s="59"/>
      <c r="B46" s="59"/>
      <c r="C46" s="59"/>
      <c r="D46" s="59"/>
      <c r="E46" s="59"/>
      <c r="F46" s="59"/>
      <c r="G46" s="59"/>
      <c r="H46" s="59"/>
      <c r="I46" s="59"/>
      <c r="J46" s="59"/>
      <c r="K46" s="59"/>
      <c r="L46" s="59"/>
      <c r="M46" s="59"/>
      <c r="N46" s="59"/>
      <c r="O46" s="59"/>
      <c r="P46" s="59"/>
      <c r="Q46" s="59"/>
      <c r="R46" s="59"/>
    </row>
    <row r="47" spans="1:18" x14ac:dyDescent="0.2">
      <c r="A47" s="59"/>
      <c r="B47" s="59"/>
      <c r="C47" s="59"/>
      <c r="D47" s="59"/>
      <c r="E47" s="59"/>
      <c r="F47" s="59"/>
      <c r="G47" s="59"/>
      <c r="H47" s="59"/>
      <c r="I47" s="59"/>
      <c r="J47" s="59"/>
      <c r="K47" s="59"/>
      <c r="L47" s="59"/>
      <c r="M47" s="59"/>
      <c r="N47" s="59"/>
      <c r="O47" s="59"/>
      <c r="P47" s="59"/>
      <c r="Q47" s="59"/>
      <c r="R47" s="59"/>
    </row>
    <row r="48" spans="1:18" x14ac:dyDescent="0.2">
      <c r="A48" s="59"/>
      <c r="B48" s="59"/>
      <c r="C48" s="59"/>
      <c r="D48" s="59"/>
      <c r="E48" s="59"/>
      <c r="F48" s="59"/>
      <c r="G48" s="59"/>
      <c r="H48" s="59"/>
      <c r="I48" s="59"/>
      <c r="J48" s="59"/>
      <c r="K48" s="59"/>
      <c r="L48" s="59"/>
      <c r="M48" s="59"/>
      <c r="N48" s="59"/>
      <c r="O48" s="59"/>
      <c r="P48" s="59"/>
      <c r="Q48" s="59"/>
      <c r="R48" s="59"/>
    </row>
    <row r="49" spans="1:18" x14ac:dyDescent="0.2">
      <c r="A49" s="59"/>
      <c r="B49" s="59"/>
      <c r="C49" s="59"/>
      <c r="D49" s="59"/>
      <c r="E49" s="59"/>
      <c r="F49" s="59"/>
      <c r="G49" s="59"/>
      <c r="H49" s="59"/>
      <c r="I49" s="59"/>
      <c r="J49" s="59"/>
      <c r="K49" s="59"/>
      <c r="L49" s="59"/>
      <c r="M49" s="59"/>
      <c r="N49" s="59"/>
      <c r="O49" s="59"/>
      <c r="P49" s="59"/>
      <c r="Q49" s="59"/>
      <c r="R49" s="59"/>
    </row>
    <row r="50" spans="1:18" x14ac:dyDescent="0.2">
      <c r="A50" s="59"/>
      <c r="B50" s="59"/>
      <c r="C50" s="59"/>
      <c r="D50" s="59"/>
      <c r="E50" s="59"/>
      <c r="F50" s="59"/>
      <c r="G50" s="59"/>
      <c r="H50" s="59"/>
      <c r="I50" s="59"/>
      <c r="J50" s="59"/>
      <c r="K50" s="59"/>
      <c r="L50" s="59"/>
      <c r="M50" s="59"/>
      <c r="N50" s="59"/>
      <c r="O50" s="59"/>
      <c r="P50" s="59"/>
      <c r="Q50" s="59"/>
      <c r="R50" s="59"/>
    </row>
    <row r="51" spans="1:18" x14ac:dyDescent="0.2">
      <c r="A51" s="59"/>
      <c r="B51" s="59"/>
      <c r="C51" s="59"/>
      <c r="D51" s="59"/>
      <c r="E51" s="59"/>
      <c r="F51" s="59"/>
      <c r="G51" s="59"/>
      <c r="H51" s="59"/>
      <c r="I51" s="59"/>
      <c r="J51" s="59"/>
      <c r="K51" s="59"/>
      <c r="L51" s="59"/>
      <c r="M51" s="59"/>
      <c r="N51" s="59"/>
      <c r="O51" s="59"/>
      <c r="P51" s="59"/>
      <c r="Q51" s="59"/>
      <c r="R51" s="59"/>
    </row>
    <row r="52" spans="1:18" x14ac:dyDescent="0.2">
      <c r="A52" s="59"/>
      <c r="B52" s="59"/>
      <c r="C52" s="59"/>
      <c r="D52" s="59"/>
      <c r="E52" s="59"/>
      <c r="F52" s="59"/>
      <c r="G52" s="59"/>
      <c r="H52" s="59"/>
      <c r="I52" s="59"/>
      <c r="J52" s="59"/>
      <c r="K52" s="59"/>
      <c r="L52" s="59"/>
      <c r="M52" s="59"/>
      <c r="N52" s="59"/>
      <c r="O52" s="59"/>
      <c r="P52" s="59"/>
      <c r="Q52" s="59"/>
      <c r="R52" s="59"/>
    </row>
    <row r="53" spans="1:18" x14ac:dyDescent="0.2">
      <c r="A53" s="59"/>
      <c r="B53" s="59"/>
      <c r="C53" s="59"/>
      <c r="D53" s="59"/>
      <c r="E53" s="59"/>
      <c r="F53" s="59"/>
      <c r="G53" s="59"/>
      <c r="H53" s="59"/>
      <c r="I53" s="59"/>
      <c r="J53" s="59"/>
      <c r="K53" s="59"/>
      <c r="L53" s="59"/>
      <c r="M53" s="59"/>
      <c r="N53" s="59"/>
      <c r="O53" s="59"/>
      <c r="P53" s="59"/>
      <c r="Q53" s="59"/>
      <c r="R53" s="59"/>
    </row>
    <row r="54" spans="1:18" x14ac:dyDescent="0.2">
      <c r="A54" s="59"/>
      <c r="B54" s="59"/>
      <c r="C54" s="59"/>
      <c r="D54" s="59"/>
      <c r="E54" s="59"/>
      <c r="F54" s="59"/>
      <c r="G54" s="59"/>
      <c r="H54" s="59"/>
      <c r="I54" s="59"/>
      <c r="J54" s="59"/>
      <c r="K54" s="59"/>
      <c r="L54" s="59"/>
      <c r="M54" s="59"/>
      <c r="N54" s="59"/>
      <c r="O54" s="59"/>
      <c r="P54" s="59"/>
      <c r="Q54" s="59"/>
      <c r="R54" s="59"/>
    </row>
    <row r="55" spans="1:18" x14ac:dyDescent="0.2">
      <c r="A55" s="59"/>
      <c r="B55" s="59"/>
      <c r="C55" s="59"/>
      <c r="D55" s="59"/>
      <c r="E55" s="59"/>
      <c r="F55" s="59"/>
      <c r="G55" s="59"/>
      <c r="H55" s="59"/>
      <c r="I55" s="59"/>
      <c r="J55" s="59"/>
      <c r="K55" s="59"/>
      <c r="L55" s="59"/>
      <c r="M55" s="59"/>
      <c r="N55" s="59"/>
      <c r="O55" s="59"/>
      <c r="P55" s="59"/>
      <c r="Q55" s="59"/>
      <c r="R55" s="59"/>
    </row>
    <row r="56" spans="1:18" x14ac:dyDescent="0.2">
      <c r="A56" s="59"/>
      <c r="B56" s="59"/>
      <c r="C56" s="59"/>
      <c r="D56" s="59"/>
      <c r="E56" s="59"/>
      <c r="F56" s="59"/>
      <c r="G56" s="59"/>
      <c r="H56" s="59"/>
      <c r="I56" s="59"/>
      <c r="J56" s="59"/>
      <c r="K56" s="59"/>
      <c r="L56" s="59"/>
      <c r="M56" s="59"/>
      <c r="N56" s="59"/>
      <c r="O56" s="59"/>
      <c r="P56" s="59"/>
      <c r="Q56" s="59"/>
      <c r="R56" s="59"/>
    </row>
    <row r="57" spans="1:18" x14ac:dyDescent="0.2">
      <c r="A57" s="59"/>
      <c r="B57" s="59"/>
      <c r="C57" s="59"/>
      <c r="D57" s="59"/>
      <c r="E57" s="59"/>
      <c r="F57" s="59"/>
      <c r="G57" s="59"/>
      <c r="H57" s="59"/>
      <c r="I57" s="59"/>
      <c r="J57" s="59"/>
      <c r="K57" s="59"/>
      <c r="L57" s="59"/>
      <c r="M57" s="59"/>
      <c r="N57" s="59"/>
      <c r="O57" s="59"/>
      <c r="P57" s="59"/>
      <c r="Q57" s="59"/>
      <c r="R57" s="59"/>
    </row>
    <row r="58" spans="1:18" x14ac:dyDescent="0.2">
      <c r="A58" s="59"/>
      <c r="B58" s="59"/>
      <c r="C58" s="59"/>
      <c r="D58" s="59"/>
      <c r="E58" s="59"/>
      <c r="F58" s="59"/>
      <c r="G58" s="59"/>
      <c r="H58" s="59"/>
      <c r="I58" s="59"/>
      <c r="J58" s="59"/>
      <c r="K58" s="59"/>
      <c r="L58" s="59"/>
      <c r="M58" s="59"/>
      <c r="N58" s="59"/>
      <c r="O58" s="59"/>
      <c r="P58" s="59"/>
      <c r="Q58" s="59"/>
      <c r="R58" s="59"/>
    </row>
    <row r="59" spans="1:18" x14ac:dyDescent="0.2">
      <c r="A59" s="59"/>
      <c r="B59" s="59"/>
      <c r="C59" s="59"/>
      <c r="D59" s="59"/>
      <c r="E59" s="59"/>
      <c r="F59" s="59"/>
      <c r="G59" s="59"/>
      <c r="H59" s="59"/>
      <c r="I59" s="59"/>
      <c r="J59" s="59"/>
      <c r="K59" s="59"/>
      <c r="L59" s="59"/>
      <c r="M59" s="59"/>
      <c r="N59" s="59"/>
      <c r="O59" s="59"/>
      <c r="P59" s="59"/>
      <c r="Q59" s="59"/>
      <c r="R59" s="59"/>
    </row>
    <row r="60" spans="1:18" x14ac:dyDescent="0.2">
      <c r="A60" s="59"/>
      <c r="B60" s="59"/>
      <c r="C60" s="59"/>
      <c r="D60" s="59"/>
      <c r="E60" s="59"/>
      <c r="F60" s="59"/>
      <c r="G60" s="59"/>
      <c r="H60" s="59"/>
      <c r="I60" s="59"/>
      <c r="J60" s="59"/>
      <c r="K60" s="59"/>
      <c r="L60" s="59"/>
      <c r="M60" s="59"/>
      <c r="N60" s="59"/>
      <c r="O60" s="59"/>
      <c r="P60" s="59"/>
      <c r="Q60" s="59"/>
      <c r="R60" s="59"/>
    </row>
    <row r="61" spans="1:18" x14ac:dyDescent="0.2">
      <c r="A61" s="59"/>
      <c r="B61" s="59"/>
      <c r="C61" s="59"/>
      <c r="D61" s="59"/>
      <c r="E61" s="59"/>
      <c r="F61" s="59"/>
      <c r="G61" s="59"/>
      <c r="H61" s="59"/>
      <c r="I61" s="59"/>
      <c r="J61" s="59"/>
      <c r="K61" s="59"/>
      <c r="L61" s="59"/>
      <c r="M61" s="59"/>
      <c r="N61" s="59"/>
      <c r="O61" s="59"/>
      <c r="P61" s="59"/>
      <c r="Q61" s="59"/>
      <c r="R61" s="59"/>
    </row>
    <row r="62" spans="1:18" x14ac:dyDescent="0.2">
      <c r="O62" s="40"/>
      <c r="P62" s="40"/>
      <c r="Q62" s="40"/>
      <c r="R62" s="40"/>
    </row>
    <row r="63" spans="1:18" x14ac:dyDescent="0.2">
      <c r="O63" s="40"/>
      <c r="P63" s="40"/>
    </row>
    <row r="64" spans="1:18"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A22:E30"/>
    <mergeCell ref="N24:O24"/>
    <mergeCell ref="N25:O25"/>
    <mergeCell ref="A1:XFD2"/>
    <mergeCell ref="N3:O3"/>
    <mergeCell ref="N4:O4"/>
    <mergeCell ref="N13:O13"/>
    <mergeCell ref="N18:O18"/>
    <mergeCell ref="D21:E21"/>
    <mergeCell ref="A21:C21"/>
  </mergeCells>
  <hyperlinks>
    <hyperlink ref="F9" r:id="rId1" display="https://finbox.com/NASDAQGM:SYM/explorer/revenue_proj" xr:uid="{375A161D-0CA5-214A-8482-F5C34E1892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2023-12-09T12:26:48Z</dcterms:modified>
</cp:coreProperties>
</file>