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9E1EEF99-CADF-0844-BF02-FF6B8EAF0B0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3" i="2"/>
  <c r="K13" i="2"/>
  <c r="A5" i="2"/>
  <c r="O5" i="2"/>
  <c r="O10" i="2"/>
  <c r="O9" i="2"/>
  <c r="O7" i="2"/>
  <c r="G7" i="2"/>
  <c r="E7" i="2"/>
  <c r="O6" i="2"/>
  <c r="O8" i="2" s="1"/>
  <c r="O12" i="2" s="1"/>
  <c r="G6" i="2"/>
  <c r="E6"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E5" i="2" s="1"/>
  <c r="D16" i="2"/>
  <c r="C16" i="2"/>
  <c r="O15" i="2"/>
  <c r="J14" i="2"/>
  <c r="I14" i="2"/>
  <c r="H14" i="2"/>
  <c r="G14" i="2"/>
  <c r="F14" i="2"/>
  <c r="E14" i="2"/>
  <c r="D14" i="2"/>
  <c r="C14" i="2"/>
  <c r="B14" i="2"/>
  <c r="J13" i="2"/>
  <c r="I13" i="2"/>
  <c r="H13" i="2"/>
  <c r="G13" i="2"/>
  <c r="F13" i="2"/>
  <c r="E13" i="2"/>
  <c r="D13" i="2"/>
  <c r="C13" i="2"/>
  <c r="J11" i="2"/>
  <c r="I11" i="2"/>
  <c r="H11" i="2"/>
  <c r="G11" i="2"/>
  <c r="F11" i="2"/>
  <c r="E11" i="2"/>
  <c r="D11" i="2"/>
  <c r="C11" i="2"/>
  <c r="E3" i="2" s="1"/>
  <c r="O11" i="2"/>
  <c r="K5" i="2" a="1"/>
  <c r="K5" i="2" s="1"/>
  <c r="C5" i="2"/>
  <c r="K4" i="2" a="1"/>
  <c r="K4"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16" i="2" l="1"/>
  <c r="E4" i="2"/>
  <c r="K11" i="2"/>
  <c r="O19" i="2"/>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<sst xmlns="http://schemas.openxmlformats.org/spreadsheetml/2006/main" count="954" uniqueCount="244">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</sst>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0" fontId="12" fillId="12" borderId="11" xfId="0" applyFont="1" applyFill="1" applyBorder="1" applyAlignment="1">
      <alignment horizontal="left" vertical="center" indent="2"/>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164" fontId="4" fillId="14" borderId="6" xfId="0" applyNumberFormat="1" applyFont="1" applyFill="1" applyBorder="1" applyAlignment="1">
      <alignment horizontal="right" vertical="center" indent="1"/>
    </xf>
    <xf numFmtId="164" fontId="4" fillId="14" borderId="13" xfId="0" applyNumberFormat="1" applyFont="1" applyFill="1" applyBorder="1" applyAlignment="1">
      <alignment horizontal="right" vertical="center" indent="1"/>
    </xf>
    <xf numFmtId="0" fontId="12" fillId="11" borderId="1" xfId="0" applyFont="1" applyFill="1" applyBorder="1" applyAlignment="1">
      <alignment vertical="center" wrapText="1"/>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12" fillId="11" borderId="1" xfId="0" applyFont="1" applyFill="1" applyBorder="1" applyAlignment="1">
      <alignment horizontal="left" vertical="center" wrapText="1" indent="3"/>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MOBILEYE GLOBAL INC. (XNAS:MBLY)</v>
    <v>2</v>
    <v>3</v>
    <v>Finance</v>
    <v>4</v>
    <v>en-US</v>
    <v>c7qfgh</v>
    <v>268435456</v>
    <v>1</v>
    <v>Powered by Refinitiv</v>
    <v>48.11</v>
    <v>28.726500000000001</v>
    <v>-0.01</v>
    <v>-2.4860000000000003E-4</v>
    <v>1.5</v>
    <v>3.7303999999999997E-2</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41.98</v>
    <v>Integrated Hardware &amp; Software</v>
    <v>Stock</v>
    <v>45268.995058008593</v>
    <v>40.11</v>
    <v>32415207059</v>
    <v>MOBILEYE GLOBAL INC.</v>
    <v>MOBILEYE GLOBAL INC.</v>
    <v>40.619999999999997</v>
    <v>40.22</v>
    <v>40.21</v>
    <v>41.71</v>
    <v>806147900</v>
    <v>MBLY</v>
    <v>MOBILEYE GLOBAL INC. (XNAS:MBLY)</v>
    <v>5743632</v>
    <v>1625541</v>
    <v>2022</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1</v>
      <v>2</v>
      <v>1</v>
      <v>1</v>
      <v>1</v>
      <v>3</v>
      <v>3</v>
      <v>4</v>
      <v>5</v>
      <v>1</v>
      <v>1</v>
      <v>1</v>
      <v>3</v>
      <v>6</v>
      <v>7</v>
      <v>8</v>
      <v>3</v>
      <v>1</v>
      <v>1</v>
      <v>4</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BLY%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MBL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09" workbookViewId="0">
      <selection activeCell="B188" sqref="B188:E188"/>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6" t="s">
        <v>9</v>
      </c>
      <c r="B2" s="34">
        <v>879000000</v>
      </c>
      <c r="C2" s="34">
        <v>967000000</v>
      </c>
      <c r="D2" s="34">
        <v>1386000000</v>
      </c>
      <c r="E2" s="34">
        <v>1869000000</v>
      </c>
      <c r="F2" s="35">
        <v>1927000000</v>
      </c>
      <c r="G2" s="34">
        <v>450000000</v>
      </c>
      <c r="H2" s="34">
        <v>565000000</v>
      </c>
      <c r="I2" s="34">
        <v>458000000</v>
      </c>
      <c r="J2" s="34">
        <v>454000000</v>
      </c>
    </row>
    <row r="3" spans="1:10" ht="16" x14ac:dyDescent="0.2">
      <c r="A3" s="9" t="s">
        <v>182</v>
      </c>
      <c r="B3" s="10"/>
      <c r="C3" s="11">
        <f t="shared" ref="C3:J3" si="0">(C2/B2)-1</f>
        <v>0.10011376564277596</v>
      </c>
      <c r="D3" s="11">
        <f t="shared" si="0"/>
        <v>0.43329886246122018</v>
      </c>
      <c r="E3" s="11">
        <f t="shared" si="0"/>
        <v>0.3484848484848484</v>
      </c>
      <c r="F3" s="11">
        <f t="shared" si="0"/>
        <v>3.1032637774210725E-2</v>
      </c>
      <c r="G3" s="11"/>
      <c r="H3" s="11">
        <f t="shared" si="0"/>
        <v>0.25555555555555554</v>
      </c>
      <c r="I3" s="11">
        <f t="shared" si="0"/>
        <v>-0.18938053097345131</v>
      </c>
      <c r="J3" s="11">
        <f t="shared" si="0"/>
        <v>-8.733624454148492E-3</v>
      </c>
    </row>
    <row r="4" spans="1:10" ht="16" x14ac:dyDescent="0.2">
      <c r="A4" s="3" t="s">
        <v>10</v>
      </c>
      <c r="B4" s="4">
        <v>879000000</v>
      </c>
      <c r="C4" s="4">
        <v>967000000</v>
      </c>
      <c r="D4" s="4">
        <v>1386000000</v>
      </c>
      <c r="E4" s="4">
        <v>1869000000</v>
      </c>
      <c r="F4" s="5">
        <v>1927000000</v>
      </c>
      <c r="G4" s="4">
        <v>450000000</v>
      </c>
      <c r="H4" s="4">
        <v>565000000</v>
      </c>
      <c r="I4" s="4">
        <v>458000000</v>
      </c>
      <c r="J4" s="4">
        <v>454000000</v>
      </c>
    </row>
    <row r="5" spans="1:10" ht="16" x14ac:dyDescent="0.2">
      <c r="A5" s="3" t="s">
        <v>11</v>
      </c>
      <c r="B5" s="4">
        <v>456000000</v>
      </c>
      <c r="C5" s="4">
        <v>591000000</v>
      </c>
      <c r="D5" s="4">
        <v>731000000</v>
      </c>
      <c r="E5" s="4">
        <v>947000000</v>
      </c>
      <c r="F5" s="5">
        <v>979000000</v>
      </c>
      <c r="G5" s="4">
        <v>233000000</v>
      </c>
      <c r="H5" s="4">
        <v>265000000</v>
      </c>
      <c r="I5" s="4">
        <v>251000000</v>
      </c>
      <c r="J5" s="4">
        <v>230000000</v>
      </c>
    </row>
    <row r="6" spans="1:10" ht="16" x14ac:dyDescent="0.2">
      <c r="A6" s="3" t="s">
        <v>12</v>
      </c>
      <c r="B6" s="4">
        <v>456000000</v>
      </c>
      <c r="C6" s="4">
        <v>591000000</v>
      </c>
      <c r="D6" s="4">
        <v>731000000</v>
      </c>
      <c r="E6" s="4">
        <v>947000000</v>
      </c>
      <c r="F6" s="5">
        <v>979000000</v>
      </c>
      <c r="G6" s="4">
        <v>233000000</v>
      </c>
      <c r="H6" s="4">
        <v>265000000</v>
      </c>
      <c r="I6" s="4">
        <v>251000000</v>
      </c>
      <c r="J6" s="4">
        <v>230000000</v>
      </c>
    </row>
    <row r="7" spans="1:10" ht="16" x14ac:dyDescent="0.2">
      <c r="A7" s="36" t="s">
        <v>13</v>
      </c>
      <c r="B7" s="34">
        <v>423000000</v>
      </c>
      <c r="C7" s="34">
        <v>376000000</v>
      </c>
      <c r="D7" s="34">
        <v>655000000</v>
      </c>
      <c r="E7" s="34">
        <v>922000000</v>
      </c>
      <c r="F7" s="35">
        <v>948000000</v>
      </c>
      <c r="G7" s="34">
        <v>217000000</v>
      </c>
      <c r="H7" s="34">
        <v>300000000</v>
      </c>
      <c r="I7" s="34">
        <v>207000000</v>
      </c>
      <c r="J7" s="34">
        <v>224000000</v>
      </c>
    </row>
    <row r="8" spans="1:10" ht="16" x14ac:dyDescent="0.2">
      <c r="A8" s="31" t="s">
        <v>49</v>
      </c>
      <c r="B8" s="32">
        <v>48.12</v>
      </c>
      <c r="C8" s="32">
        <v>38.880000000000003</v>
      </c>
      <c r="D8" s="32">
        <v>47.26</v>
      </c>
      <c r="E8" s="32">
        <v>49.33</v>
      </c>
      <c r="F8" s="33">
        <v>49.2</v>
      </c>
      <c r="G8" s="32">
        <v>48.22</v>
      </c>
      <c r="H8" s="32">
        <v>53.1</v>
      </c>
      <c r="I8" s="32">
        <v>45.2</v>
      </c>
      <c r="J8" s="32">
        <v>49.34</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509000000</v>
      </c>
      <c r="C10" s="4">
        <v>589000000</v>
      </c>
      <c r="D10" s="4">
        <v>712000000</v>
      </c>
      <c r="E10" s="4">
        <v>959000000</v>
      </c>
      <c r="F10" s="5">
        <v>1063000000</v>
      </c>
      <c r="G10" s="4">
        <v>242000000</v>
      </c>
      <c r="H10" s="4">
        <v>276000000</v>
      </c>
      <c r="I10" s="4">
        <v>288000000</v>
      </c>
      <c r="J10" s="4">
        <v>257000000</v>
      </c>
    </row>
    <row r="11" spans="1:10" ht="16" x14ac:dyDescent="0.2">
      <c r="A11" s="31" t="s">
        <v>17</v>
      </c>
      <c r="B11" s="34">
        <v>125000000</v>
      </c>
      <c r="C11" s="34">
        <v>149000000</v>
      </c>
      <c r="D11" s="34">
        <v>168000000</v>
      </c>
      <c r="E11" s="34">
        <v>170000000</v>
      </c>
      <c r="F11" s="35">
        <v>187000000</v>
      </c>
      <c r="G11" s="34">
        <v>36000000</v>
      </c>
      <c r="H11" s="34">
        <v>52000000</v>
      </c>
      <c r="I11" s="34">
        <v>53000000</v>
      </c>
      <c r="J11" s="34">
        <v>46000000</v>
      </c>
    </row>
    <row r="12" spans="1:10" ht="16" x14ac:dyDescent="0.2">
      <c r="A12" s="12" t="s">
        <v>183</v>
      </c>
      <c r="B12" s="13">
        <f t="shared" ref="B12:J12" si="1">B11/B2</f>
        <v>0.1422070534698521</v>
      </c>
      <c r="C12" s="13">
        <f t="shared" si="1"/>
        <v>0.15408479834539815</v>
      </c>
      <c r="D12" s="13">
        <f t="shared" si="1"/>
        <v>0.12121212121212122</v>
      </c>
      <c r="E12" s="13">
        <f t="shared" si="1"/>
        <v>9.0957731407169604E-2</v>
      </c>
      <c r="F12" s="13">
        <f t="shared" si="1"/>
        <v>9.7042034250129736E-2</v>
      </c>
      <c r="G12" s="13">
        <f t="shared" si="1"/>
        <v>0.08</v>
      </c>
      <c r="H12" s="13">
        <f t="shared" si="1"/>
        <v>9.2035398230088494E-2</v>
      </c>
      <c r="I12" s="13">
        <f t="shared" si="1"/>
        <v>0.11572052401746726</v>
      </c>
      <c r="J12" s="13">
        <f t="shared" si="1"/>
        <v>0.1013215859030837</v>
      </c>
    </row>
    <row r="13" spans="1:10" ht="16" x14ac:dyDescent="0.2">
      <c r="A13" s="31" t="s">
        <v>18</v>
      </c>
      <c r="B13" s="34">
        <v>384000000</v>
      </c>
      <c r="C13" s="34">
        <v>440000000</v>
      </c>
      <c r="D13" s="34">
        <v>544000000</v>
      </c>
      <c r="E13" s="34">
        <v>789000000</v>
      </c>
      <c r="F13" s="35">
        <v>876000000</v>
      </c>
      <c r="G13" s="34">
        <v>206000000</v>
      </c>
      <c r="H13" s="34">
        <v>224000000</v>
      </c>
      <c r="I13" s="34">
        <v>235000000</v>
      </c>
      <c r="J13" s="34">
        <v>211000000</v>
      </c>
    </row>
    <row r="14" spans="1:10" ht="16" x14ac:dyDescent="0.2">
      <c r="A14" s="14" t="s">
        <v>184</v>
      </c>
      <c r="B14" s="15">
        <f t="shared" ref="B14:J14" si="2">B13/B2</f>
        <v>0.43686006825938567</v>
      </c>
      <c r="C14" s="15">
        <f t="shared" si="2"/>
        <v>0.45501551189245087</v>
      </c>
      <c r="D14" s="15">
        <f t="shared" si="2"/>
        <v>0.39249639249639251</v>
      </c>
      <c r="E14" s="15">
        <f t="shared" si="2"/>
        <v>0.42215088282504015</v>
      </c>
      <c r="F14" s="15">
        <f t="shared" si="2"/>
        <v>0.45459263103269332</v>
      </c>
      <c r="G14" s="15">
        <f t="shared" si="2"/>
        <v>0.45777777777777778</v>
      </c>
      <c r="H14" s="15">
        <f t="shared" si="2"/>
        <v>0.39646017699115044</v>
      </c>
      <c r="I14" s="15">
        <f t="shared" si="2"/>
        <v>0.51310043668122274</v>
      </c>
      <c r="J14" s="15">
        <f t="shared" si="2"/>
        <v>0.46475770925110133</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36" t="s">
        <v>20</v>
      </c>
      <c r="B16" s="34">
        <v>-86000000</v>
      </c>
      <c r="C16" s="34">
        <v>-213000000</v>
      </c>
      <c r="D16" s="34">
        <v>-57000000</v>
      </c>
      <c r="E16" s="34">
        <v>-37000000</v>
      </c>
      <c r="F16" s="35">
        <v>-115000000</v>
      </c>
      <c r="G16" s="34">
        <v>-25000000</v>
      </c>
      <c r="H16" s="34">
        <v>24000000</v>
      </c>
      <c r="I16" s="34">
        <v>-81000000</v>
      </c>
      <c r="J16" s="34">
        <v>-33000000</v>
      </c>
    </row>
    <row r="17" spans="1:10" ht="16" x14ac:dyDescent="0.2">
      <c r="A17" s="31" t="s">
        <v>50</v>
      </c>
      <c r="B17" s="32">
        <v>-9.7799999999999994</v>
      </c>
      <c r="C17" s="32">
        <v>-22.03</v>
      </c>
      <c r="D17" s="32">
        <v>-4.1100000000000003</v>
      </c>
      <c r="E17" s="32">
        <v>-1.98</v>
      </c>
      <c r="F17" s="33">
        <v>-5.97</v>
      </c>
      <c r="G17" s="32">
        <v>-5.56</v>
      </c>
      <c r="H17" s="32">
        <v>4.25</v>
      </c>
      <c r="I17" s="32">
        <v>-17.690000000000001</v>
      </c>
      <c r="J17" s="32">
        <v>-7.27</v>
      </c>
    </row>
    <row r="18" spans="1:10" ht="16" x14ac:dyDescent="0.2">
      <c r="A18" s="16" t="s">
        <v>185</v>
      </c>
      <c r="B18" s="17"/>
      <c r="C18" s="13">
        <f>(C16/B16)-1</f>
        <v>1.4767441860465116</v>
      </c>
      <c r="D18" s="13">
        <f>(D16/C16)-1</f>
        <v>-0.73239436619718312</v>
      </c>
      <c r="E18" s="13">
        <f>(E16/D16)-1</f>
        <v>-0.35087719298245612</v>
      </c>
      <c r="F18" s="13">
        <f t="shared" ref="F18:J18" si="3">(F16/E16)-1</f>
        <v>2.1081081081081079</v>
      </c>
      <c r="G18" s="13"/>
      <c r="H18" s="13">
        <f t="shared" si="3"/>
        <v>-1.96</v>
      </c>
      <c r="I18" s="13">
        <f t="shared" si="3"/>
        <v>-4.375</v>
      </c>
      <c r="J18" s="13">
        <f t="shared" si="3"/>
        <v>-0.59259259259259256</v>
      </c>
    </row>
    <row r="19" spans="1:10" ht="16" x14ac:dyDescent="0.2">
      <c r="A19" s="3" t="s">
        <v>21</v>
      </c>
      <c r="B19" s="4">
        <v>239000000</v>
      </c>
      <c r="C19" s="4">
        <v>-1000000</v>
      </c>
      <c r="D19" s="4" t="s">
        <v>15</v>
      </c>
      <c r="E19" s="4">
        <v>-5000000</v>
      </c>
      <c r="F19" s="5">
        <v>-28000000</v>
      </c>
      <c r="G19" s="4">
        <v>5000000</v>
      </c>
      <c r="H19" s="4">
        <v>-10000000</v>
      </c>
      <c r="I19" s="4">
        <v>-8000000</v>
      </c>
      <c r="J19" s="4">
        <v>-15000000</v>
      </c>
    </row>
    <row r="20" spans="1:10" ht="16" x14ac:dyDescent="0.2">
      <c r="A20" s="3" t="s">
        <v>22</v>
      </c>
      <c r="B20" s="4">
        <v>-235000000</v>
      </c>
      <c r="C20" s="4">
        <v>-6000000</v>
      </c>
      <c r="D20" s="4">
        <v>-3000000</v>
      </c>
      <c r="E20" s="4">
        <v>6000000</v>
      </c>
      <c r="F20" s="5">
        <v>1000000</v>
      </c>
      <c r="G20" s="4">
        <v>6000000</v>
      </c>
      <c r="H20" s="4">
        <v>-5000000</v>
      </c>
      <c r="I20" s="4" t="s">
        <v>15</v>
      </c>
      <c r="J20" s="4" t="s">
        <v>15</v>
      </c>
    </row>
    <row r="21" spans="1:10" ht="16" x14ac:dyDescent="0.2">
      <c r="A21" s="3" t="s">
        <v>23</v>
      </c>
      <c r="B21" s="4">
        <v>-235000000</v>
      </c>
      <c r="C21" s="4" t="s">
        <v>15</v>
      </c>
      <c r="D21" s="4" t="s">
        <v>15</v>
      </c>
      <c r="E21" s="4">
        <v>24000000</v>
      </c>
      <c r="F21" s="5">
        <v>15000000</v>
      </c>
      <c r="G21" s="4">
        <v>11000000</v>
      </c>
      <c r="H21" s="4">
        <v>4000000</v>
      </c>
      <c r="I21" s="4" t="s">
        <v>15</v>
      </c>
      <c r="J21" s="4" t="s">
        <v>15</v>
      </c>
    </row>
    <row r="22" spans="1:10" ht="16" x14ac:dyDescent="0.2">
      <c r="A22" s="3" t="s">
        <v>24</v>
      </c>
      <c r="B22" s="4" t="s">
        <v>15</v>
      </c>
      <c r="C22" s="4">
        <v>6000000</v>
      </c>
      <c r="D22" s="4">
        <v>3000000</v>
      </c>
      <c r="E22" s="4">
        <v>18000000</v>
      </c>
      <c r="F22" s="5">
        <v>14000000</v>
      </c>
      <c r="G22" s="4">
        <v>5000000</v>
      </c>
      <c r="H22" s="4">
        <v>9000000</v>
      </c>
      <c r="I22" s="4" t="s">
        <v>15</v>
      </c>
      <c r="J22" s="4" t="s">
        <v>15</v>
      </c>
    </row>
    <row r="23" spans="1:10" ht="16" x14ac:dyDescent="0.2">
      <c r="A23" s="3" t="s">
        <v>25</v>
      </c>
      <c r="B23" s="4">
        <v>474000000</v>
      </c>
      <c r="C23" s="4">
        <v>5000000</v>
      </c>
      <c r="D23" s="4">
        <v>3000000</v>
      </c>
      <c r="E23" s="4">
        <v>-11000000</v>
      </c>
      <c r="F23" s="5">
        <v>-29000000</v>
      </c>
      <c r="G23" s="4">
        <v>-1000000</v>
      </c>
      <c r="H23" s="4">
        <v>-5000000</v>
      </c>
      <c r="I23" s="4">
        <v>-8000000</v>
      </c>
      <c r="J23" s="4">
        <v>-15000000</v>
      </c>
    </row>
    <row r="24" spans="1:10" ht="16" x14ac:dyDescent="0.2">
      <c r="A24" s="3" t="s">
        <v>26</v>
      </c>
      <c r="B24" s="4">
        <v>-325000000</v>
      </c>
      <c r="C24" s="4">
        <v>-212000000</v>
      </c>
      <c r="D24" s="4">
        <v>-57000000</v>
      </c>
      <c r="E24" s="4">
        <v>-32000000</v>
      </c>
      <c r="F24" s="5">
        <v>-87000000</v>
      </c>
      <c r="G24" s="4">
        <v>-30000000</v>
      </c>
      <c r="H24" s="4">
        <v>34000000</v>
      </c>
      <c r="I24" s="4">
        <v>-73000000</v>
      </c>
      <c r="J24" s="4">
        <v>-18000000</v>
      </c>
    </row>
    <row r="25" spans="1:10" ht="16" x14ac:dyDescent="0.2">
      <c r="A25" s="3" t="s">
        <v>27</v>
      </c>
      <c r="B25" s="4">
        <v>3000000</v>
      </c>
      <c r="C25" s="4">
        <v>-16000000</v>
      </c>
      <c r="D25" s="4">
        <v>18000000</v>
      </c>
      <c r="E25" s="4">
        <v>50000000</v>
      </c>
      <c r="F25" s="5">
        <v>35000000</v>
      </c>
      <c r="G25" s="4">
        <v>15000000</v>
      </c>
      <c r="H25" s="4">
        <v>4000000</v>
      </c>
      <c r="I25" s="4">
        <v>6000000</v>
      </c>
      <c r="J25" s="4">
        <v>10000000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-328000000</v>
      </c>
      <c r="C27" s="4">
        <v>-196000000</v>
      </c>
      <c r="D27" s="4">
        <v>-75000000</v>
      </c>
      <c r="E27" s="4">
        <v>-82000000</v>
      </c>
      <c r="F27" s="5">
        <v>-122000000</v>
      </c>
      <c r="G27" s="4">
        <v>-45000000</v>
      </c>
      <c r="H27" s="4">
        <v>30000000</v>
      </c>
      <c r="I27" s="4">
        <v>-79000000</v>
      </c>
      <c r="J27" s="4">
        <v>-28000000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-328000000</v>
      </c>
      <c r="C31" s="4">
        <v>-196000000</v>
      </c>
      <c r="D31" s="4">
        <v>-75000000</v>
      </c>
      <c r="E31" s="4">
        <v>-82000000</v>
      </c>
      <c r="F31" s="5">
        <v>-122000000</v>
      </c>
      <c r="G31" s="4">
        <v>-45000000</v>
      </c>
      <c r="H31" s="4">
        <v>30000000</v>
      </c>
      <c r="I31" s="4">
        <v>-79000000</v>
      </c>
      <c r="J31" s="4">
        <v>-28000000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36" t="s">
        <v>35</v>
      </c>
      <c r="B33" s="34">
        <v>-328000000</v>
      </c>
      <c r="C33" s="34">
        <v>-196000000</v>
      </c>
      <c r="D33" s="34">
        <v>-75000000</v>
      </c>
      <c r="E33" s="34">
        <v>-82000000</v>
      </c>
      <c r="F33" s="35">
        <v>-122000000</v>
      </c>
      <c r="G33" s="34">
        <v>-45000000</v>
      </c>
      <c r="H33" s="34">
        <v>30000000</v>
      </c>
      <c r="I33" s="34">
        <v>-79000000</v>
      </c>
      <c r="J33" s="34">
        <v>-28000000</v>
      </c>
    </row>
    <row r="34" spans="1:10" ht="16" x14ac:dyDescent="0.2">
      <c r="A34" s="31" t="s">
        <v>51</v>
      </c>
      <c r="B34" s="32">
        <v>-37.32</v>
      </c>
      <c r="C34" s="32">
        <v>-20.27</v>
      </c>
      <c r="D34" s="32">
        <v>-5.41</v>
      </c>
      <c r="E34" s="32">
        <v>-4.3899999999999997</v>
      </c>
      <c r="F34" s="33">
        <v>-6.33</v>
      </c>
      <c r="G34" s="34">
        <v>-10</v>
      </c>
      <c r="H34" s="32">
        <v>5.31</v>
      </c>
      <c r="I34" s="32">
        <v>-17.25</v>
      </c>
      <c r="J34" s="32">
        <v>-6.17</v>
      </c>
    </row>
    <row r="35" spans="1:10" ht="16" x14ac:dyDescent="0.2">
      <c r="A35" s="18" t="s">
        <v>186</v>
      </c>
      <c r="B35" s="19"/>
      <c r="C35" s="15">
        <f>(C33/B33)-1</f>
        <v>-0.40243902439024393</v>
      </c>
      <c r="D35" s="15">
        <f>(D33/C33)-1</f>
        <v>-0.61734693877551017</v>
      </c>
      <c r="E35" s="15">
        <f>(E33/D33)-1</f>
        <v>9.3333333333333268E-2</v>
      </c>
      <c r="F35" s="15">
        <f t="shared" ref="F35:J35" si="4">(F33/E33)-1</f>
        <v>0.48780487804878048</v>
      </c>
      <c r="G35" s="15"/>
      <c r="H35" s="15">
        <f t="shared" si="4"/>
        <v>-1.6666666666666665</v>
      </c>
      <c r="I35" s="15">
        <f t="shared" si="4"/>
        <v>-3.6333333333333333</v>
      </c>
      <c r="J35" s="15">
        <f t="shared" si="4"/>
        <v>-0.64556962025316456</v>
      </c>
    </row>
    <row r="36" spans="1:10" ht="16" x14ac:dyDescent="0.2">
      <c r="A36" s="20" t="s">
        <v>187</v>
      </c>
      <c r="B36" s="21">
        <f t="shared" ref="B36:J36" si="5">(B16*(1-0.25))/(B126+B105+B96)</f>
        <v>-4.0714556242898627E-3</v>
      </c>
      <c r="C36" s="21">
        <f t="shared" si="5"/>
        <v>-1.0083954046206288E-2</v>
      </c>
      <c r="D36" s="21">
        <f t="shared" si="5"/>
        <v>-2.6905406255900307E-3</v>
      </c>
      <c r="E36" s="21">
        <f t="shared" si="5"/>
        <v>-1.8757604434230094E-3</v>
      </c>
      <c r="F36" s="21">
        <f t="shared" si="5"/>
        <v>-4.7079694323144102E-3</v>
      </c>
      <c r="G36" s="21">
        <f t="shared" si="5"/>
        <v>-1.2772479564032697E-3</v>
      </c>
      <c r="H36" s="21">
        <f t="shared" si="5"/>
        <v>1.2167094768149251E-3</v>
      </c>
      <c r="I36" s="21">
        <f t="shared" si="5"/>
        <v>-4.1083384053560556E-3</v>
      </c>
      <c r="J36" s="21">
        <f t="shared" si="5"/>
        <v>-1.6722972972972973E-3</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-328000000</v>
      </c>
      <c r="C39" s="4">
        <v>-196000000</v>
      </c>
      <c r="D39" s="4">
        <v>-75000000</v>
      </c>
      <c r="E39" s="4">
        <v>-82000000</v>
      </c>
      <c r="F39" s="5">
        <v>-122000000</v>
      </c>
      <c r="G39" s="4">
        <v>-45000000</v>
      </c>
      <c r="H39" s="4">
        <v>30000000</v>
      </c>
      <c r="I39" s="4">
        <v>-79000000</v>
      </c>
      <c r="J39" s="4">
        <v>-28000000</v>
      </c>
    </row>
    <row r="40" spans="1:10" ht="16" x14ac:dyDescent="0.2">
      <c r="A40" s="3" t="s">
        <v>39</v>
      </c>
      <c r="B40" s="4">
        <v>795762000</v>
      </c>
      <c r="C40" s="4">
        <v>795762000</v>
      </c>
      <c r="D40" s="4">
        <v>795762000</v>
      </c>
      <c r="E40" s="4">
        <v>759000000</v>
      </c>
      <c r="F40" s="5">
        <v>801293750</v>
      </c>
      <c r="G40" s="4">
        <v>796263000</v>
      </c>
      <c r="H40" s="4">
        <v>801912000</v>
      </c>
      <c r="I40" s="4">
        <v>802000000</v>
      </c>
      <c r="J40" s="4">
        <v>805000000</v>
      </c>
    </row>
    <row r="41" spans="1:10" ht="16" x14ac:dyDescent="0.2">
      <c r="A41" s="3" t="s">
        <v>40</v>
      </c>
      <c r="B41" s="6">
        <v>-0.41</v>
      </c>
      <c r="C41" s="6">
        <v>-0.25</v>
      </c>
      <c r="D41" s="6">
        <v>-0.09</v>
      </c>
      <c r="E41" s="6">
        <v>-0.11</v>
      </c>
      <c r="F41" s="7">
        <v>-0.15</v>
      </c>
      <c r="G41" s="6">
        <v>-0.06</v>
      </c>
      <c r="H41" s="6">
        <v>0.04</v>
      </c>
      <c r="I41" s="6">
        <v>-0.1</v>
      </c>
      <c r="J41" s="6">
        <v>-0.03</v>
      </c>
    </row>
    <row r="42" spans="1:10" ht="16" x14ac:dyDescent="0.2">
      <c r="A42" s="3" t="s">
        <v>41</v>
      </c>
      <c r="B42" s="6">
        <v>-0.41</v>
      </c>
      <c r="C42" s="6">
        <v>-0.25</v>
      </c>
      <c r="D42" s="6">
        <v>-0.09</v>
      </c>
      <c r="E42" s="6">
        <v>-0.11</v>
      </c>
      <c r="F42" s="7">
        <v>-0.15</v>
      </c>
      <c r="G42" s="6">
        <v>-0.06</v>
      </c>
      <c r="H42" s="6">
        <v>0.04</v>
      </c>
      <c r="I42" s="6">
        <v>-0.1</v>
      </c>
      <c r="J42" s="6">
        <v>-0.03</v>
      </c>
    </row>
    <row r="43" spans="1:10" ht="16" x14ac:dyDescent="0.2">
      <c r="A43" s="3" t="s">
        <v>42</v>
      </c>
      <c r="B43" s="4">
        <v>795762000</v>
      </c>
      <c r="C43" s="4">
        <v>795762000</v>
      </c>
      <c r="D43" s="4">
        <v>795762000</v>
      </c>
      <c r="E43" s="4">
        <v>759000000</v>
      </c>
      <c r="F43" s="5">
        <v>801293750</v>
      </c>
      <c r="G43" s="4">
        <v>796263000</v>
      </c>
      <c r="H43" s="4">
        <v>801912000</v>
      </c>
      <c r="I43" s="4">
        <v>802000000</v>
      </c>
      <c r="J43" s="4">
        <v>805000000</v>
      </c>
    </row>
    <row r="44" spans="1:10" ht="16" x14ac:dyDescent="0.2">
      <c r="A44" s="3" t="s">
        <v>43</v>
      </c>
      <c r="B44" s="6">
        <v>-0.41</v>
      </c>
      <c r="C44" s="6">
        <v>-0.25</v>
      </c>
      <c r="D44" s="6">
        <v>-0.09</v>
      </c>
      <c r="E44" s="6">
        <v>-0.11</v>
      </c>
      <c r="F44" s="7">
        <v>-0.15</v>
      </c>
      <c r="G44" s="6">
        <v>-0.06</v>
      </c>
      <c r="H44" s="6">
        <v>0.04</v>
      </c>
      <c r="I44" s="6">
        <v>-0.1</v>
      </c>
      <c r="J44" s="6">
        <v>-0.03</v>
      </c>
    </row>
    <row r="45" spans="1:10" ht="16" x14ac:dyDescent="0.2">
      <c r="A45" s="3" t="s">
        <v>44</v>
      </c>
      <c r="B45" s="6">
        <v>-0.41</v>
      </c>
      <c r="C45" s="6">
        <v>-0.25</v>
      </c>
      <c r="D45" s="6">
        <v>-0.09</v>
      </c>
      <c r="E45" s="6">
        <v>-0.11</v>
      </c>
      <c r="F45" s="7">
        <v>-0.15</v>
      </c>
      <c r="G45" s="6">
        <v>-0.06</v>
      </c>
      <c r="H45" s="6">
        <v>0.04</v>
      </c>
      <c r="I45" s="6">
        <v>-0.1</v>
      </c>
      <c r="J45" s="6">
        <v>-0.03</v>
      </c>
    </row>
    <row r="46" spans="1:10" ht="16" x14ac:dyDescent="0.2">
      <c r="A46" s="3" t="s">
        <v>45</v>
      </c>
      <c r="B46" s="4">
        <v>252000000</v>
      </c>
      <c r="C46" s="4">
        <v>250000000</v>
      </c>
      <c r="D46" s="4">
        <v>469000000</v>
      </c>
      <c r="E46" s="4">
        <v>530000000</v>
      </c>
      <c r="F46" s="5">
        <v>426000000</v>
      </c>
      <c r="G46" s="4">
        <v>113000000</v>
      </c>
      <c r="H46" s="4">
        <v>161000000</v>
      </c>
      <c r="I46" s="4">
        <v>59000000</v>
      </c>
      <c r="J46" s="4">
        <v>93000000</v>
      </c>
    </row>
    <row r="47" spans="1:10" ht="16" x14ac:dyDescent="0.2">
      <c r="A47" s="3" t="s">
        <v>46</v>
      </c>
      <c r="B47" s="6">
        <v>28.67</v>
      </c>
      <c r="C47" s="6">
        <v>25.85</v>
      </c>
      <c r="D47" s="6">
        <v>33.840000000000003</v>
      </c>
      <c r="E47" s="6">
        <v>28.36</v>
      </c>
      <c r="F47" s="7">
        <v>22.11</v>
      </c>
      <c r="G47" s="6">
        <v>28.37</v>
      </c>
      <c r="H47" s="6">
        <v>28.36</v>
      </c>
      <c r="I47" s="6">
        <v>24.88</v>
      </c>
      <c r="J47" s="6">
        <v>22.11</v>
      </c>
    </row>
    <row r="48" spans="1:10" ht="16" x14ac:dyDescent="0.2">
      <c r="A48" s="3" t="s">
        <v>47</v>
      </c>
      <c r="B48" s="4">
        <v>-86000000</v>
      </c>
      <c r="C48" s="4">
        <v>-213000000</v>
      </c>
      <c r="D48" s="4">
        <v>-57000000</v>
      </c>
      <c r="E48" s="4">
        <v>-37000000</v>
      </c>
      <c r="F48" s="5">
        <v>-115000000</v>
      </c>
      <c r="G48" s="4">
        <v>-25000000</v>
      </c>
      <c r="H48" s="4">
        <v>24000000</v>
      </c>
      <c r="I48" s="4">
        <v>-81000000</v>
      </c>
      <c r="J48" s="4">
        <v>-33000000</v>
      </c>
    </row>
    <row r="49" spans="1:10" ht="16" x14ac:dyDescent="0.2">
      <c r="A49" s="3" t="s">
        <v>48</v>
      </c>
      <c r="B49" s="4">
        <v>-86000000</v>
      </c>
      <c r="C49" s="4">
        <v>-213000000</v>
      </c>
      <c r="D49" s="4">
        <v>-57000000</v>
      </c>
      <c r="E49" s="4">
        <v>-37000000</v>
      </c>
      <c r="F49" s="5">
        <v>-115000000</v>
      </c>
      <c r="G49" s="4">
        <v>-25000000</v>
      </c>
      <c r="H49" s="4">
        <v>24000000</v>
      </c>
      <c r="I49" s="4">
        <v>-81000000</v>
      </c>
      <c r="J49" s="4">
        <v>-33000000</v>
      </c>
    </row>
    <row r="50" spans="1:10" ht="16" x14ac:dyDescent="0.2">
      <c r="A50" s="3" t="s">
        <v>52</v>
      </c>
      <c r="B50" s="4" t="s">
        <v>15</v>
      </c>
      <c r="C50" s="4" t="s">
        <v>15</v>
      </c>
      <c r="D50" s="4" t="s">
        <v>15</v>
      </c>
      <c r="E50" s="4">
        <v>534000</v>
      </c>
      <c r="F50" s="5">
        <v>550571</v>
      </c>
      <c r="G50" s="4" t="s">
        <v>15</v>
      </c>
      <c r="H50" s="4">
        <v>161429</v>
      </c>
      <c r="I50" s="4">
        <v>130857</v>
      </c>
      <c r="J50" s="4">
        <v>129714</v>
      </c>
    </row>
    <row r="51" spans="1:10" ht="16" x14ac:dyDescent="0.2">
      <c r="A51" s="3" t="s">
        <v>53</v>
      </c>
      <c r="B51" s="4" t="s">
        <v>15</v>
      </c>
      <c r="C51" s="4" t="s">
        <v>15</v>
      </c>
      <c r="D51" s="4" t="s">
        <v>15</v>
      </c>
      <c r="E51" s="6">
        <v>0.44</v>
      </c>
      <c r="F51" s="5">
        <v>0</v>
      </c>
      <c r="G51" s="4" t="s">
        <v>15</v>
      </c>
      <c r="H51" s="4">
        <v>0</v>
      </c>
      <c r="I51" s="4" t="s">
        <v>15</v>
      </c>
      <c r="J51" s="4" t="s">
        <v>15</v>
      </c>
    </row>
    <row r="52" spans="1:10" ht="16" x14ac:dyDescent="0.2">
      <c r="A52" s="3" t="s">
        <v>54</v>
      </c>
      <c r="B52" s="4">
        <v>338000000</v>
      </c>
      <c r="C52" s="4">
        <v>463000000</v>
      </c>
      <c r="D52" s="4">
        <v>526000000</v>
      </c>
      <c r="E52" s="4">
        <v>567000000</v>
      </c>
      <c r="F52" s="5">
        <v>541000000</v>
      </c>
      <c r="G52" s="4">
        <v>138000000</v>
      </c>
      <c r="H52" s="4">
        <v>137000000</v>
      </c>
      <c r="I52" s="4">
        <v>140000000</v>
      </c>
      <c r="J52" s="4">
        <v>126000000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t="s">
        <v>15</v>
      </c>
      <c r="C55" s="4">
        <v>1692000000</v>
      </c>
      <c r="D55" s="4">
        <v>2270000000</v>
      </c>
      <c r="E55" s="4">
        <v>1516000000</v>
      </c>
      <c r="F55" s="5">
        <v>1717000000</v>
      </c>
      <c r="G55" s="4">
        <v>2162000000</v>
      </c>
      <c r="H55" s="4">
        <v>1516000000</v>
      </c>
      <c r="I55" s="4">
        <v>1655000000</v>
      </c>
      <c r="J55" s="4">
        <v>1717000000</v>
      </c>
    </row>
    <row r="56" spans="1:10" ht="16" x14ac:dyDescent="0.2">
      <c r="A56" s="3" t="s">
        <v>56</v>
      </c>
      <c r="B56" s="4" t="s">
        <v>15</v>
      </c>
      <c r="C56" s="4">
        <v>85000000</v>
      </c>
      <c r="D56" s="4">
        <v>616000000</v>
      </c>
      <c r="E56" s="4">
        <v>1024000000</v>
      </c>
      <c r="F56" s="5">
        <v>1142000000</v>
      </c>
      <c r="G56" s="4">
        <v>871000000</v>
      </c>
      <c r="H56" s="4">
        <v>1024000000</v>
      </c>
      <c r="I56" s="4">
        <v>1161000000</v>
      </c>
      <c r="J56" s="4">
        <v>1142000000</v>
      </c>
    </row>
    <row r="57" spans="1:10" ht="16" x14ac:dyDescent="0.2">
      <c r="A57" s="3" t="s">
        <v>57</v>
      </c>
      <c r="B57" s="4" t="s">
        <v>15</v>
      </c>
      <c r="C57" s="4">
        <v>85000000</v>
      </c>
      <c r="D57" s="4">
        <v>616000000</v>
      </c>
      <c r="E57" s="4">
        <v>1024000000</v>
      </c>
      <c r="F57" s="5">
        <v>1142000000</v>
      </c>
      <c r="G57" s="4">
        <v>871000000</v>
      </c>
      <c r="H57" s="4">
        <v>1024000000</v>
      </c>
      <c r="I57" s="4">
        <v>1161000000</v>
      </c>
      <c r="J57" s="4">
        <v>1142000000</v>
      </c>
    </row>
    <row r="58" spans="1:10" ht="16" x14ac:dyDescent="0.2">
      <c r="A58" s="3" t="s">
        <v>58</v>
      </c>
      <c r="B58" s="4" t="s">
        <v>15</v>
      </c>
      <c r="C58" s="4" t="s">
        <v>15</v>
      </c>
      <c r="D58" s="4" t="s">
        <v>15</v>
      </c>
      <c r="E58" s="4" t="s">
        <v>15</v>
      </c>
      <c r="F58" s="5" t="s">
        <v>15</v>
      </c>
      <c r="G58" s="4" t="s">
        <v>15</v>
      </c>
      <c r="H58" s="4" t="s">
        <v>15</v>
      </c>
      <c r="I58" s="4" t="s">
        <v>15</v>
      </c>
      <c r="J58" s="4" t="s">
        <v>15</v>
      </c>
    </row>
    <row r="59" spans="1:10" ht="16" x14ac:dyDescent="0.2">
      <c r="A59" s="3" t="s">
        <v>59</v>
      </c>
      <c r="B59" s="4" t="s">
        <v>15</v>
      </c>
      <c r="C59" s="4">
        <v>1425000000</v>
      </c>
      <c r="D59" s="4">
        <v>1481000000</v>
      </c>
      <c r="E59" s="4">
        <v>269000000</v>
      </c>
      <c r="F59" s="5">
        <v>240000000</v>
      </c>
      <c r="G59" s="4">
        <v>1123000000</v>
      </c>
      <c r="H59" s="4">
        <v>269000000</v>
      </c>
      <c r="I59" s="4">
        <v>239000000</v>
      </c>
      <c r="J59" s="4">
        <v>240000000</v>
      </c>
    </row>
    <row r="60" spans="1:10" ht="16" x14ac:dyDescent="0.2">
      <c r="A60" s="3" t="s">
        <v>60</v>
      </c>
      <c r="B60" s="4" t="s">
        <v>15</v>
      </c>
      <c r="C60" s="4">
        <v>93000000</v>
      </c>
      <c r="D60" s="4">
        <v>155000000</v>
      </c>
      <c r="E60" s="4">
        <v>269000000</v>
      </c>
      <c r="F60" s="5">
        <v>240000000</v>
      </c>
      <c r="G60" s="4">
        <v>222000000</v>
      </c>
      <c r="H60" s="4">
        <v>269000000</v>
      </c>
      <c r="I60" s="4">
        <v>239000000</v>
      </c>
      <c r="J60" s="4">
        <v>240000000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v>1332000000</v>
      </c>
      <c r="D62" s="4">
        <v>1326000000</v>
      </c>
      <c r="E62" s="4" t="s">
        <v>15</v>
      </c>
      <c r="F62" s="5" t="s">
        <v>15</v>
      </c>
      <c r="G62" s="4">
        <v>901000000</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v>128000000</v>
      </c>
      <c r="D64" s="4">
        <v>97000000</v>
      </c>
      <c r="E64" s="4">
        <v>113000000</v>
      </c>
      <c r="F64" s="5">
        <v>263000000</v>
      </c>
      <c r="G64" s="4">
        <v>105000000</v>
      </c>
      <c r="H64" s="4">
        <v>113000000</v>
      </c>
      <c r="I64" s="4">
        <v>173000000</v>
      </c>
      <c r="J64" s="4">
        <v>263000000</v>
      </c>
    </row>
    <row r="65" spans="1:10" ht="16" x14ac:dyDescent="0.2">
      <c r="A65" s="3" t="s">
        <v>65</v>
      </c>
      <c r="B65" s="4" t="s">
        <v>15</v>
      </c>
      <c r="C65" s="4">
        <v>17000000</v>
      </c>
      <c r="D65" s="4">
        <v>24000000</v>
      </c>
      <c r="E65" s="4">
        <v>41000000</v>
      </c>
      <c r="F65" s="5">
        <v>49000000</v>
      </c>
      <c r="G65" s="4">
        <v>39000000</v>
      </c>
      <c r="H65" s="4">
        <v>41000000</v>
      </c>
      <c r="I65" s="4">
        <v>43000000</v>
      </c>
      <c r="J65" s="4">
        <v>49000000</v>
      </c>
    </row>
    <row r="66" spans="1:10" ht="16" x14ac:dyDescent="0.2">
      <c r="A66" s="3" t="s">
        <v>66</v>
      </c>
      <c r="B66" s="4" t="s">
        <v>15</v>
      </c>
      <c r="C66" s="4">
        <v>2000000</v>
      </c>
      <c r="D66" s="4" t="s">
        <v>15</v>
      </c>
      <c r="E66" s="4" t="s">
        <v>15</v>
      </c>
      <c r="F66" s="5">
        <v>1000000</v>
      </c>
      <c r="G66" s="4">
        <v>1000000</v>
      </c>
      <c r="H66" s="4" t="s">
        <v>15</v>
      </c>
      <c r="I66" s="4" t="s">
        <v>15</v>
      </c>
      <c r="J66" s="4">
        <v>1000000</v>
      </c>
    </row>
    <row r="67" spans="1:10" ht="16" x14ac:dyDescent="0.2">
      <c r="A67" s="3" t="s">
        <v>67</v>
      </c>
      <c r="B67" s="4" t="s">
        <v>15</v>
      </c>
      <c r="C67" s="4">
        <v>109000000</v>
      </c>
      <c r="D67" s="4">
        <v>73000000</v>
      </c>
      <c r="E67" s="4">
        <v>72000000</v>
      </c>
      <c r="F67" s="5">
        <v>213000000</v>
      </c>
      <c r="G67" s="4">
        <v>65000000</v>
      </c>
      <c r="H67" s="4">
        <v>72000000</v>
      </c>
      <c r="I67" s="4">
        <v>130000000</v>
      </c>
      <c r="J67" s="4">
        <v>213000000</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t="s">
        <v>15</v>
      </c>
      <c r="C70" s="4">
        <v>54000000</v>
      </c>
      <c r="D70" s="4">
        <v>76000000</v>
      </c>
      <c r="E70" s="4">
        <v>110000000</v>
      </c>
      <c r="F70" s="5">
        <v>72000000</v>
      </c>
      <c r="G70" s="4">
        <v>63000000</v>
      </c>
      <c r="H70" s="4">
        <v>110000000</v>
      </c>
      <c r="I70" s="4">
        <v>82000000</v>
      </c>
      <c r="J70" s="4">
        <v>72000000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t="s">
        <v>15</v>
      </c>
      <c r="C76" s="4">
        <v>14770000000</v>
      </c>
      <c r="D76" s="4">
        <v>14385000000</v>
      </c>
      <c r="E76" s="4">
        <v>13925000000</v>
      </c>
      <c r="F76" s="5">
        <v>13713000000</v>
      </c>
      <c r="G76" s="4">
        <v>14002000000</v>
      </c>
      <c r="H76" s="4">
        <v>13925000000</v>
      </c>
      <c r="I76" s="4">
        <v>13807000000</v>
      </c>
      <c r="J76" s="4">
        <v>13713000000</v>
      </c>
    </row>
    <row r="77" spans="1:10" ht="16" x14ac:dyDescent="0.2">
      <c r="A77" s="3" t="s">
        <v>77</v>
      </c>
      <c r="B77" s="4" t="s">
        <v>15</v>
      </c>
      <c r="C77" s="4">
        <v>187000000</v>
      </c>
      <c r="D77" s="4">
        <v>304000000</v>
      </c>
      <c r="E77" s="4">
        <v>384000000</v>
      </c>
      <c r="F77" s="5">
        <v>422000000</v>
      </c>
      <c r="G77" s="4">
        <v>354000000</v>
      </c>
      <c r="H77" s="4">
        <v>384000000</v>
      </c>
      <c r="I77" s="4">
        <v>401000000</v>
      </c>
      <c r="J77" s="4">
        <v>422000000</v>
      </c>
    </row>
    <row r="78" spans="1:10" ht="16" x14ac:dyDescent="0.2">
      <c r="A78" s="3" t="s">
        <v>78</v>
      </c>
      <c r="B78" s="4" t="s">
        <v>15</v>
      </c>
      <c r="C78" s="4">
        <v>231000000</v>
      </c>
      <c r="D78" s="4">
        <v>362000000</v>
      </c>
      <c r="E78" s="4">
        <v>465000000</v>
      </c>
      <c r="F78" s="5">
        <v>518000000</v>
      </c>
      <c r="G78" s="4">
        <v>429000000</v>
      </c>
      <c r="H78" s="4">
        <v>465000000</v>
      </c>
      <c r="I78" s="4">
        <v>489000000</v>
      </c>
      <c r="J78" s="4">
        <v>518000000</v>
      </c>
    </row>
    <row r="79" spans="1:10" ht="16" x14ac:dyDescent="0.2">
      <c r="A79" s="3" t="s">
        <v>79</v>
      </c>
      <c r="B79" s="4" t="s">
        <v>15</v>
      </c>
      <c r="C79" s="4">
        <v>44000000</v>
      </c>
      <c r="D79" s="4">
        <v>58000000</v>
      </c>
      <c r="E79" s="4">
        <v>81000000</v>
      </c>
      <c r="F79" s="5">
        <v>96000000</v>
      </c>
      <c r="G79" s="4">
        <v>75000000</v>
      </c>
      <c r="H79" s="4">
        <v>81000000</v>
      </c>
      <c r="I79" s="4">
        <v>88000000</v>
      </c>
      <c r="J79" s="4">
        <v>96000000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t="s">
        <v>15</v>
      </c>
      <c r="C83" s="4">
        <v>14583000000</v>
      </c>
      <c r="D83" s="4">
        <v>14081000000</v>
      </c>
      <c r="E83" s="4">
        <v>13541000000</v>
      </c>
      <c r="F83" s="5">
        <v>13291000000</v>
      </c>
      <c r="G83" s="4">
        <v>13648000000</v>
      </c>
      <c r="H83" s="4">
        <v>13541000000</v>
      </c>
      <c r="I83" s="4">
        <v>13406000000</v>
      </c>
      <c r="J83" s="4">
        <v>13291000000</v>
      </c>
    </row>
    <row r="84" spans="1:10" ht="16" x14ac:dyDescent="0.2">
      <c r="A84" s="3" t="s">
        <v>84</v>
      </c>
      <c r="B84" s="4" t="s">
        <v>15</v>
      </c>
      <c r="C84" s="4">
        <v>14475000000</v>
      </c>
      <c r="D84" s="4">
        <v>13966000000</v>
      </c>
      <c r="E84" s="4">
        <v>13422000000</v>
      </c>
      <c r="F84" s="5">
        <v>13171000000</v>
      </c>
      <c r="G84" s="4">
        <v>13553000000</v>
      </c>
      <c r="H84" s="4">
        <v>13422000000</v>
      </c>
      <c r="I84" s="4">
        <v>13289000000</v>
      </c>
      <c r="J84" s="4">
        <v>13171000000</v>
      </c>
    </row>
    <row r="85" spans="1:10" ht="16" x14ac:dyDescent="0.2">
      <c r="A85" s="3" t="s">
        <v>85</v>
      </c>
      <c r="B85" s="4" t="s">
        <v>15</v>
      </c>
      <c r="C85" s="4">
        <v>10895000000</v>
      </c>
      <c r="D85" s="4">
        <v>10895000000</v>
      </c>
      <c r="E85" s="4">
        <v>10895000000</v>
      </c>
      <c r="F85" s="5">
        <v>10895000000</v>
      </c>
      <c r="G85" s="4">
        <v>10895000000</v>
      </c>
      <c r="H85" s="4">
        <v>10895000000</v>
      </c>
      <c r="I85" s="4">
        <v>10895000000</v>
      </c>
      <c r="J85" s="4">
        <v>10895000000</v>
      </c>
    </row>
    <row r="86" spans="1:10" ht="16" x14ac:dyDescent="0.2">
      <c r="A86" s="3" t="s">
        <v>86</v>
      </c>
      <c r="B86" s="4" t="s">
        <v>15</v>
      </c>
      <c r="C86" s="4">
        <v>3580000000</v>
      </c>
      <c r="D86" s="4">
        <v>3071000000</v>
      </c>
      <c r="E86" s="4">
        <v>2527000000</v>
      </c>
      <c r="F86" s="5">
        <v>2276000000</v>
      </c>
      <c r="G86" s="4">
        <v>2658000000</v>
      </c>
      <c r="H86" s="4">
        <v>2527000000</v>
      </c>
      <c r="I86" s="4">
        <v>2394000000</v>
      </c>
      <c r="J86" s="4">
        <v>2276000000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t="s">
        <v>15</v>
      </c>
      <c r="C89" s="4">
        <v>108000000</v>
      </c>
      <c r="D89" s="4">
        <v>115000000</v>
      </c>
      <c r="E89" s="4">
        <v>119000000</v>
      </c>
      <c r="F89" s="5">
        <v>120000000</v>
      </c>
      <c r="G89" s="4">
        <v>95000000</v>
      </c>
      <c r="H89" s="4">
        <v>119000000</v>
      </c>
      <c r="I89" s="4">
        <v>117000000</v>
      </c>
      <c r="J89" s="4">
        <v>120000000</v>
      </c>
    </row>
    <row r="90" spans="1:10" ht="16" x14ac:dyDescent="0.2">
      <c r="A90" s="3" t="s">
        <v>90</v>
      </c>
      <c r="B90" s="4" t="s">
        <v>15</v>
      </c>
      <c r="C90" s="4">
        <v>16462000000</v>
      </c>
      <c r="D90" s="4">
        <v>16655000000</v>
      </c>
      <c r="E90" s="4">
        <v>15441000000</v>
      </c>
      <c r="F90" s="5">
        <v>15430000000</v>
      </c>
      <c r="G90" s="4">
        <v>16164000000</v>
      </c>
      <c r="H90" s="4">
        <v>15441000000</v>
      </c>
      <c r="I90" s="4">
        <v>15462000000</v>
      </c>
      <c r="J90" s="4">
        <v>15430000000</v>
      </c>
    </row>
    <row r="91" spans="1:10" ht="16" x14ac:dyDescent="0.2">
      <c r="A91" s="3" t="s">
        <v>91</v>
      </c>
      <c r="B91" s="4" t="s">
        <v>15</v>
      </c>
      <c r="C91" s="4">
        <v>112000000</v>
      </c>
      <c r="D91" s="4">
        <v>323000000</v>
      </c>
      <c r="E91" s="4">
        <v>262000000</v>
      </c>
      <c r="F91" s="5">
        <v>262000000</v>
      </c>
      <c r="G91" s="4">
        <v>1126000000</v>
      </c>
      <c r="H91" s="4">
        <v>262000000</v>
      </c>
      <c r="I91" s="4">
        <v>288000000</v>
      </c>
      <c r="J91" s="4">
        <v>262000000</v>
      </c>
    </row>
    <row r="92" spans="1:10" ht="16" x14ac:dyDescent="0.2">
      <c r="A92" s="3" t="s">
        <v>92</v>
      </c>
      <c r="B92" s="4" t="s">
        <v>15</v>
      </c>
      <c r="C92" s="4">
        <v>109000000</v>
      </c>
      <c r="D92" s="4">
        <v>160000000</v>
      </c>
      <c r="E92" s="4">
        <v>189000000</v>
      </c>
      <c r="F92" s="5">
        <v>208000000</v>
      </c>
      <c r="G92" s="4">
        <v>160000000</v>
      </c>
      <c r="H92" s="4">
        <v>189000000</v>
      </c>
      <c r="I92" s="4">
        <v>208000000</v>
      </c>
      <c r="J92" s="4">
        <v>208000000</v>
      </c>
    </row>
    <row r="93" spans="1:10" ht="16" x14ac:dyDescent="0.2">
      <c r="A93" s="3" t="s">
        <v>93</v>
      </c>
      <c r="B93" s="4" t="s">
        <v>15</v>
      </c>
      <c r="C93" s="4" t="s">
        <v>15</v>
      </c>
      <c r="D93" s="4" t="s">
        <v>15</v>
      </c>
      <c r="E93" s="4" t="s">
        <v>15</v>
      </c>
      <c r="F93" s="5" t="s">
        <v>15</v>
      </c>
      <c r="G93" s="4" t="s">
        <v>15</v>
      </c>
      <c r="H93" s="4" t="s">
        <v>15</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t="s">
        <v>15</v>
      </c>
      <c r="C95" s="4">
        <v>3000000</v>
      </c>
      <c r="D95" s="4">
        <v>163000000</v>
      </c>
      <c r="E95" s="4">
        <v>73000000</v>
      </c>
      <c r="F95" s="5">
        <v>54000000</v>
      </c>
      <c r="G95" s="4">
        <v>966000000</v>
      </c>
      <c r="H95" s="4">
        <v>73000000</v>
      </c>
      <c r="I95" s="4">
        <v>80000000</v>
      </c>
      <c r="J95" s="4">
        <v>54000000</v>
      </c>
    </row>
    <row r="96" spans="1:10" ht="16" x14ac:dyDescent="0.2">
      <c r="A96" s="3" t="s">
        <v>96</v>
      </c>
      <c r="B96" s="4">
        <v>0</v>
      </c>
      <c r="C96" s="4">
        <v>0</v>
      </c>
      <c r="D96" s="4">
        <v>0</v>
      </c>
      <c r="E96" s="4">
        <v>0</v>
      </c>
      <c r="F96" s="5">
        <v>3520000000</v>
      </c>
      <c r="G96" s="4">
        <v>3520000000</v>
      </c>
      <c r="H96" s="4">
        <v>0</v>
      </c>
      <c r="I96" s="4">
        <v>0</v>
      </c>
      <c r="J96" s="4">
        <v>0</v>
      </c>
    </row>
    <row r="97" spans="1:10" ht="16" x14ac:dyDescent="0.2">
      <c r="A97" s="3" t="s">
        <v>97</v>
      </c>
      <c r="B97" s="4" t="s">
        <v>15</v>
      </c>
      <c r="C97" s="4" t="s">
        <v>15</v>
      </c>
      <c r="D97" s="4" t="s">
        <v>15</v>
      </c>
      <c r="E97" s="4" t="s">
        <v>15</v>
      </c>
      <c r="F97" s="5" t="s">
        <v>15</v>
      </c>
      <c r="G97" s="4">
        <v>3520000000</v>
      </c>
      <c r="H97" s="4" t="s">
        <v>15</v>
      </c>
      <c r="I97" s="4" t="s">
        <v>15</v>
      </c>
      <c r="J97" s="4" t="s">
        <v>15</v>
      </c>
    </row>
    <row r="98" spans="1:10" ht="16" x14ac:dyDescent="0.2">
      <c r="A98" s="3" t="s">
        <v>98</v>
      </c>
      <c r="B98" s="4" t="s">
        <v>15</v>
      </c>
      <c r="C98" s="4" t="s">
        <v>15</v>
      </c>
      <c r="D98" s="4" t="s">
        <v>15</v>
      </c>
      <c r="E98" s="4" t="s">
        <v>15</v>
      </c>
      <c r="F98" s="5" t="s">
        <v>15</v>
      </c>
      <c r="G98" s="4" t="s">
        <v>15</v>
      </c>
      <c r="H98" s="4" t="s">
        <v>15</v>
      </c>
      <c r="I98" s="4" t="s">
        <v>15</v>
      </c>
      <c r="J98" s="4" t="s">
        <v>15</v>
      </c>
    </row>
    <row r="99" spans="1:10" ht="16" x14ac:dyDescent="0.2">
      <c r="A99" s="3" t="s">
        <v>99</v>
      </c>
      <c r="B99" s="4" t="s">
        <v>15</v>
      </c>
      <c r="C99" s="4">
        <v>198000000</v>
      </c>
      <c r="D99" s="4">
        <v>151000000</v>
      </c>
      <c r="E99" s="4">
        <v>122000000</v>
      </c>
      <c r="F99" s="5">
        <v>119000000</v>
      </c>
      <c r="G99" s="4">
        <v>134000000</v>
      </c>
      <c r="H99" s="4">
        <v>122000000</v>
      </c>
      <c r="I99" s="4">
        <v>130000000</v>
      </c>
      <c r="J99" s="4">
        <v>119000000</v>
      </c>
    </row>
    <row r="100" spans="1:10" ht="16" x14ac:dyDescent="0.2">
      <c r="A100" s="3" t="s">
        <v>100</v>
      </c>
      <c r="B100" s="4" t="s">
        <v>15</v>
      </c>
      <c r="C100" s="4" t="s">
        <v>15</v>
      </c>
      <c r="D100" s="4" t="s">
        <v>15</v>
      </c>
      <c r="E100" s="4" t="s">
        <v>15</v>
      </c>
      <c r="F100" s="5" t="s">
        <v>15</v>
      </c>
      <c r="G100" s="4" t="s">
        <v>15</v>
      </c>
      <c r="H100" s="4" t="s">
        <v>15</v>
      </c>
      <c r="I100" s="4" t="s">
        <v>15</v>
      </c>
      <c r="J100" s="4" t="s">
        <v>15</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t="s">
        <v>15</v>
      </c>
      <c r="C103" s="4">
        <v>198000000</v>
      </c>
      <c r="D103" s="4">
        <v>151000000</v>
      </c>
      <c r="E103" s="4">
        <v>122000000</v>
      </c>
      <c r="F103" s="5">
        <v>119000000</v>
      </c>
      <c r="G103" s="4">
        <v>134000000</v>
      </c>
      <c r="H103" s="4">
        <v>122000000</v>
      </c>
      <c r="I103" s="4">
        <v>130000000</v>
      </c>
      <c r="J103" s="4">
        <v>119000000</v>
      </c>
    </row>
    <row r="104" spans="1:10" ht="16" x14ac:dyDescent="0.2">
      <c r="A104" s="3" t="s">
        <v>104</v>
      </c>
      <c r="B104" s="4" t="s">
        <v>15</v>
      </c>
      <c r="C104" s="4">
        <v>310000000</v>
      </c>
      <c r="D104" s="4">
        <v>474000000</v>
      </c>
      <c r="E104" s="4">
        <v>384000000</v>
      </c>
      <c r="F104" s="5">
        <v>381000000</v>
      </c>
      <c r="G104" s="4">
        <v>4780000000</v>
      </c>
      <c r="H104" s="4">
        <v>384000000</v>
      </c>
      <c r="I104" s="4">
        <v>418000000</v>
      </c>
      <c r="J104" s="4">
        <v>381000000</v>
      </c>
    </row>
    <row r="105" spans="1:10" ht="16" x14ac:dyDescent="0.2">
      <c r="A105" s="3" t="s">
        <v>105</v>
      </c>
      <c r="B105" s="4">
        <v>0</v>
      </c>
      <c r="C105" s="4">
        <v>0</v>
      </c>
      <c r="D105" s="4">
        <v>0</v>
      </c>
      <c r="E105" s="4">
        <v>0</v>
      </c>
      <c r="F105" s="5">
        <v>0</v>
      </c>
      <c r="G105" s="4">
        <v>0</v>
      </c>
      <c r="H105" s="4">
        <v>0</v>
      </c>
      <c r="I105" s="4">
        <v>0</v>
      </c>
      <c r="J105" s="4">
        <v>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t="s">
        <v>15</v>
      </c>
      <c r="C107" s="4" t="s">
        <v>15</v>
      </c>
      <c r="D107" s="4" t="s">
        <v>15</v>
      </c>
      <c r="E107" s="4" t="s">
        <v>15</v>
      </c>
      <c r="F107" s="5" t="s">
        <v>15</v>
      </c>
      <c r="G107" s="4" t="s">
        <v>15</v>
      </c>
      <c r="H107" s="4" t="s">
        <v>15</v>
      </c>
      <c r="I107" s="4" t="s">
        <v>15</v>
      </c>
      <c r="J107" s="4" t="s">
        <v>15</v>
      </c>
    </row>
    <row r="108" spans="1:10" ht="16" x14ac:dyDescent="0.2">
      <c r="A108" s="3" t="s">
        <v>108</v>
      </c>
      <c r="B108" s="4" t="s">
        <v>15</v>
      </c>
      <c r="C108" s="4">
        <v>310000000</v>
      </c>
      <c r="D108" s="4">
        <v>292000000</v>
      </c>
      <c r="E108" s="4">
        <v>263000000</v>
      </c>
      <c r="F108" s="5">
        <v>249000000</v>
      </c>
      <c r="G108" s="4">
        <v>224000000</v>
      </c>
      <c r="H108" s="4">
        <v>263000000</v>
      </c>
      <c r="I108" s="4">
        <v>257000000</v>
      </c>
      <c r="J108" s="4">
        <v>249000000</v>
      </c>
    </row>
    <row r="109" spans="1:10" ht="16" x14ac:dyDescent="0.2">
      <c r="A109" s="3" t="s">
        <v>109</v>
      </c>
      <c r="B109" s="4" t="s">
        <v>15</v>
      </c>
      <c r="C109" s="4">
        <v>208000000</v>
      </c>
      <c r="D109" s="4">
        <v>181000000</v>
      </c>
      <c r="E109" s="4">
        <v>162000000</v>
      </c>
      <c r="F109" s="5">
        <v>152000000</v>
      </c>
      <c r="G109" s="4">
        <v>162000000</v>
      </c>
      <c r="H109" s="4">
        <v>162000000</v>
      </c>
      <c r="I109" s="4">
        <v>159000000</v>
      </c>
      <c r="J109" s="4">
        <v>152000000</v>
      </c>
    </row>
    <row r="110" spans="1:10" ht="16" x14ac:dyDescent="0.2">
      <c r="A110" s="3" t="s">
        <v>110</v>
      </c>
      <c r="B110" s="4" t="s">
        <v>15</v>
      </c>
      <c r="C110" s="4">
        <v>79000000</v>
      </c>
      <c r="D110" s="4">
        <v>94000000</v>
      </c>
      <c r="E110" s="4">
        <v>56000000</v>
      </c>
      <c r="F110" s="5">
        <v>55000000</v>
      </c>
      <c r="G110" s="4">
        <v>54000000</v>
      </c>
      <c r="H110" s="4">
        <v>56000000</v>
      </c>
      <c r="I110" s="4">
        <v>54000000</v>
      </c>
      <c r="J110" s="4">
        <v>55000000</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t="s">
        <v>15</v>
      </c>
      <c r="C114" s="4">
        <v>23000000</v>
      </c>
      <c r="D114" s="4">
        <v>17000000</v>
      </c>
      <c r="E114" s="4">
        <v>45000000</v>
      </c>
      <c r="F114" s="5">
        <v>42000000</v>
      </c>
      <c r="G114" s="4">
        <v>8000000</v>
      </c>
      <c r="H114" s="4">
        <v>45000000</v>
      </c>
      <c r="I114" s="4">
        <v>44000000</v>
      </c>
      <c r="J114" s="4">
        <v>42000000</v>
      </c>
    </row>
    <row r="115" spans="1:10" ht="16" x14ac:dyDescent="0.2">
      <c r="A115" s="3" t="s">
        <v>112</v>
      </c>
      <c r="B115" s="4" t="s">
        <v>15</v>
      </c>
      <c r="C115" s="4">
        <v>310000000</v>
      </c>
      <c r="D115" s="4">
        <v>292000000</v>
      </c>
      <c r="E115" s="4">
        <v>263000000</v>
      </c>
      <c r="F115" s="5">
        <v>249000000</v>
      </c>
      <c r="G115" s="4">
        <v>224000000</v>
      </c>
      <c r="H115" s="4">
        <v>263000000</v>
      </c>
      <c r="I115" s="4">
        <v>257000000</v>
      </c>
      <c r="J115" s="4">
        <v>249000000</v>
      </c>
    </row>
    <row r="116" spans="1:10" ht="16" x14ac:dyDescent="0.2">
      <c r="A116" s="3" t="s">
        <v>113</v>
      </c>
      <c r="B116" s="4" t="s">
        <v>15</v>
      </c>
      <c r="C116" s="4">
        <v>620000000</v>
      </c>
      <c r="D116" s="4">
        <v>766000000</v>
      </c>
      <c r="E116" s="4">
        <v>647000000</v>
      </c>
      <c r="F116" s="5">
        <v>630000000</v>
      </c>
      <c r="G116" s="4">
        <v>5004000000</v>
      </c>
      <c r="H116" s="4">
        <v>647000000</v>
      </c>
      <c r="I116" s="4">
        <v>675000000</v>
      </c>
      <c r="J116" s="4">
        <v>630000000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t="s">
        <v>15</v>
      </c>
      <c r="C118" s="4">
        <v>15842000000</v>
      </c>
      <c r="D118" s="4">
        <v>15884000000</v>
      </c>
      <c r="E118" s="4">
        <v>14746000000</v>
      </c>
      <c r="F118" s="5">
        <v>14850000000</v>
      </c>
      <c r="G118" s="4">
        <v>11178000000</v>
      </c>
      <c r="H118" s="4">
        <v>14746000000</v>
      </c>
      <c r="I118" s="4">
        <v>14809000000</v>
      </c>
      <c r="J118" s="4">
        <v>14850000000</v>
      </c>
    </row>
    <row r="119" spans="1:10" ht="16" x14ac:dyDescent="0.2">
      <c r="A119" s="3" t="s">
        <v>116</v>
      </c>
      <c r="B119" s="4" t="s">
        <v>15</v>
      </c>
      <c r="C119" s="4">
        <v>15842000000</v>
      </c>
      <c r="D119" s="4">
        <v>15884000000</v>
      </c>
      <c r="E119" s="4">
        <v>9000000</v>
      </c>
      <c r="F119" s="5">
        <v>8000000</v>
      </c>
      <c r="G119" s="4">
        <v>11178000000</v>
      </c>
      <c r="H119" s="4">
        <v>9000000</v>
      </c>
      <c r="I119" s="4">
        <v>9000000</v>
      </c>
      <c r="J119" s="4">
        <v>8000000</v>
      </c>
    </row>
    <row r="120" spans="1:10" ht="16" x14ac:dyDescent="0.2">
      <c r="A120" s="3" t="s">
        <v>117</v>
      </c>
      <c r="B120" s="4" t="s">
        <v>15</v>
      </c>
      <c r="C120" s="4" t="s">
        <v>15</v>
      </c>
      <c r="D120" s="4" t="s">
        <v>15</v>
      </c>
      <c r="E120" s="4">
        <v>14737000000</v>
      </c>
      <c r="F120" s="5">
        <v>14842000000</v>
      </c>
      <c r="G120" s="4" t="s">
        <v>15</v>
      </c>
      <c r="H120" s="4">
        <v>14737000000</v>
      </c>
      <c r="I120" s="4">
        <v>14800000000</v>
      </c>
      <c r="J120" s="4">
        <v>14842000000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t="s">
        <v>15</v>
      </c>
      <c r="C122" s="4" t="s">
        <v>15</v>
      </c>
      <c r="D122" s="4" t="s">
        <v>15</v>
      </c>
      <c r="E122" s="4">
        <v>57000000</v>
      </c>
      <c r="F122" s="5">
        <v>-50000000</v>
      </c>
      <c r="G122" s="4" t="s">
        <v>15</v>
      </c>
      <c r="H122" s="4">
        <v>57000000</v>
      </c>
      <c r="I122" s="4">
        <v>-22000000</v>
      </c>
      <c r="J122" s="4">
        <v>-50000000</v>
      </c>
    </row>
    <row r="123" spans="1:10" ht="16" x14ac:dyDescent="0.2">
      <c r="A123" s="3" t="s">
        <v>120</v>
      </c>
      <c r="B123" s="4" t="s">
        <v>15</v>
      </c>
      <c r="C123" s="4" t="s">
        <v>15</v>
      </c>
      <c r="D123" s="4">
        <v>5000000</v>
      </c>
      <c r="E123" s="4">
        <v>-9000000</v>
      </c>
      <c r="F123" s="5" t="s">
        <v>15</v>
      </c>
      <c r="G123" s="4">
        <v>-18000000</v>
      </c>
      <c r="H123" s="4">
        <v>-9000000</v>
      </c>
      <c r="I123" s="4" t="s">
        <v>15</v>
      </c>
      <c r="J123" s="4" t="s">
        <v>15</v>
      </c>
    </row>
    <row r="124" spans="1:10" ht="16" x14ac:dyDescent="0.2">
      <c r="A124" s="3" t="s">
        <v>121</v>
      </c>
      <c r="B124" s="4" t="s">
        <v>15</v>
      </c>
      <c r="C124" s="4">
        <v>15842000000</v>
      </c>
      <c r="D124" s="4">
        <v>15889000000</v>
      </c>
      <c r="E124" s="4">
        <v>14794000000</v>
      </c>
      <c r="F124" s="5">
        <v>14800000000</v>
      </c>
      <c r="G124" s="4">
        <v>11160000000</v>
      </c>
      <c r="H124" s="4">
        <v>14794000000</v>
      </c>
      <c r="I124" s="4">
        <v>14787000000</v>
      </c>
      <c r="J124" s="4">
        <v>14800000000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15842000000</v>
      </c>
      <c r="C126" s="4">
        <v>15842000000</v>
      </c>
      <c r="D126" s="4">
        <v>15889000000</v>
      </c>
      <c r="E126" s="4">
        <v>14794000000</v>
      </c>
      <c r="F126" s="5">
        <v>14800000000</v>
      </c>
      <c r="G126" s="4">
        <v>11160000000</v>
      </c>
      <c r="H126" s="4">
        <v>14794000000</v>
      </c>
      <c r="I126" s="4">
        <v>14787000000</v>
      </c>
      <c r="J126" s="4">
        <v>14800000000</v>
      </c>
    </row>
    <row r="127" spans="1:10" ht="16" x14ac:dyDescent="0.2">
      <c r="A127" s="3" t="s">
        <v>124</v>
      </c>
      <c r="B127" s="4">
        <v>16462000000</v>
      </c>
      <c r="C127" s="4">
        <v>16462000000</v>
      </c>
      <c r="D127" s="4">
        <v>16655000000</v>
      </c>
      <c r="E127" s="4">
        <v>15441000000</v>
      </c>
      <c r="F127" s="5">
        <v>15430000000</v>
      </c>
      <c r="G127" s="4">
        <v>16164000000</v>
      </c>
      <c r="H127" s="4">
        <v>15441000000</v>
      </c>
      <c r="I127" s="4">
        <v>15462000000</v>
      </c>
      <c r="J127" s="4">
        <v>15430000000</v>
      </c>
    </row>
    <row r="128" spans="1:10" ht="16" x14ac:dyDescent="0.2">
      <c r="A128" s="30" t="s">
        <v>125</v>
      </c>
      <c r="B128" s="28">
        <v>795762000</v>
      </c>
      <c r="C128" s="28">
        <v>795762000</v>
      </c>
      <c r="D128" s="28">
        <v>795762000</v>
      </c>
      <c r="E128" s="28">
        <v>801912000</v>
      </c>
      <c r="F128" s="29">
        <v>805662000</v>
      </c>
      <c r="G128" s="28">
        <v>796263000</v>
      </c>
      <c r="H128" s="28">
        <v>801912000</v>
      </c>
      <c r="I128" s="28">
        <v>801912000</v>
      </c>
      <c r="J128" s="28">
        <v>805662000</v>
      </c>
    </row>
    <row r="129" spans="1:10" ht="16" x14ac:dyDescent="0.2">
      <c r="A129" s="16" t="s">
        <v>188</v>
      </c>
      <c r="B129" s="17"/>
      <c r="C129" s="22">
        <f>(C128/B128)-1</f>
        <v>0</v>
      </c>
      <c r="D129" s="22">
        <f>(D128/C128)-1</f>
        <v>0</v>
      </c>
      <c r="E129" s="22">
        <f>(E128/D128)-1</f>
        <v>7.7284414184140005E-3</v>
      </c>
      <c r="F129" s="22">
        <f t="shared" ref="F129:J129" si="6">(F128/E128)-1</f>
        <v>4.6763235866280617E-3</v>
      </c>
      <c r="G129" s="22">
        <f t="shared" si="6"/>
        <v>-1.1666182592700136E-2</v>
      </c>
      <c r="H129" s="22">
        <f t="shared" si="6"/>
        <v>7.0943896677353457E-3</v>
      </c>
      <c r="I129" s="22">
        <f t="shared" si="6"/>
        <v>0</v>
      </c>
      <c r="J129" s="22">
        <f t="shared" si="6"/>
        <v>4.6763235866280617E-3</v>
      </c>
    </row>
    <row r="130" spans="1:10" ht="16" x14ac:dyDescent="0.2">
      <c r="A130" s="3" t="s">
        <v>126</v>
      </c>
      <c r="B130" s="4" t="s">
        <v>15</v>
      </c>
      <c r="C130" s="4" t="s">
        <v>15</v>
      </c>
      <c r="D130" s="4" t="s">
        <v>15</v>
      </c>
      <c r="E130" s="4" t="s">
        <v>15</v>
      </c>
      <c r="F130" s="5" t="s">
        <v>15</v>
      </c>
      <c r="G130" s="4" t="s">
        <v>15</v>
      </c>
      <c r="H130" s="4" t="s">
        <v>15</v>
      </c>
      <c r="I130" s="4" t="s">
        <v>15</v>
      </c>
      <c r="J130" s="4" t="s">
        <v>15</v>
      </c>
    </row>
    <row r="131" spans="1:10" ht="16" x14ac:dyDescent="0.2">
      <c r="A131" s="3" t="s">
        <v>127</v>
      </c>
      <c r="B131" s="4" t="s">
        <v>15</v>
      </c>
      <c r="C131" s="4">
        <v>-85000000</v>
      </c>
      <c r="D131" s="4">
        <v>-616000000</v>
      </c>
      <c r="E131" s="4">
        <v>-1024000000</v>
      </c>
      <c r="F131" s="5">
        <v>-1142000000</v>
      </c>
      <c r="G131" s="4">
        <v>2649000000</v>
      </c>
      <c r="H131" s="4">
        <v>-1024000000</v>
      </c>
      <c r="I131" s="4">
        <v>-1161000000</v>
      </c>
      <c r="J131" s="4">
        <v>-1142000000</v>
      </c>
    </row>
    <row r="132" spans="1:10" ht="16" x14ac:dyDescent="0.2">
      <c r="A132" s="3" t="s">
        <v>128</v>
      </c>
      <c r="B132" s="4" t="s">
        <v>15</v>
      </c>
      <c r="C132" s="6">
        <v>-0.54</v>
      </c>
      <c r="D132" s="6">
        <v>-3.88</v>
      </c>
      <c r="E132" s="6">
        <v>-6.92</v>
      </c>
      <c r="F132" s="7">
        <v>-7.72</v>
      </c>
      <c r="G132" s="6">
        <v>23.74</v>
      </c>
      <c r="H132" s="6">
        <v>-6.92</v>
      </c>
      <c r="I132" s="6">
        <v>-7.85</v>
      </c>
      <c r="J132" s="6">
        <v>-7.72</v>
      </c>
    </row>
    <row r="133" spans="1:10" ht="16" x14ac:dyDescent="0.2">
      <c r="A133" s="3" t="s">
        <v>129</v>
      </c>
      <c r="B133" s="4" t="s">
        <v>15</v>
      </c>
      <c r="C133" s="6">
        <v>68.8</v>
      </c>
      <c r="D133" s="6">
        <v>71.510000000000005</v>
      </c>
      <c r="E133" s="6">
        <v>67.95</v>
      </c>
      <c r="F133" s="7">
        <v>72.11</v>
      </c>
      <c r="G133" s="6">
        <v>-91.65</v>
      </c>
      <c r="H133" s="6">
        <v>67.95</v>
      </c>
      <c r="I133" s="6">
        <v>68.94</v>
      </c>
      <c r="J133" s="6">
        <v>72.11</v>
      </c>
    </row>
    <row r="134" spans="1:10" ht="16" x14ac:dyDescent="0.2">
      <c r="A134" s="3" t="s">
        <v>130</v>
      </c>
      <c r="B134" s="4" t="s">
        <v>15</v>
      </c>
      <c r="C134" s="6">
        <v>5.46</v>
      </c>
      <c r="D134" s="6">
        <v>4.79</v>
      </c>
      <c r="E134" s="6">
        <v>3.95</v>
      </c>
      <c r="F134" s="7">
        <v>4.51</v>
      </c>
      <c r="G134" s="6">
        <v>0.45</v>
      </c>
      <c r="H134" s="6">
        <v>3.95</v>
      </c>
      <c r="I134" s="6">
        <v>3.96</v>
      </c>
      <c r="J134" s="6">
        <v>4.51</v>
      </c>
    </row>
    <row r="135" spans="1:10" ht="16" x14ac:dyDescent="0.2">
      <c r="A135" s="3" t="s">
        <v>131</v>
      </c>
      <c r="B135" s="4" t="s">
        <v>15</v>
      </c>
      <c r="C135" s="6">
        <v>29.41</v>
      </c>
      <c r="D135" s="6">
        <v>18.7</v>
      </c>
      <c r="E135" s="6">
        <v>15.73</v>
      </c>
      <c r="F135" s="7">
        <v>55.1</v>
      </c>
      <c r="G135" s="6">
        <v>16.559999999999999</v>
      </c>
      <c r="H135" s="6">
        <v>15.73</v>
      </c>
      <c r="I135" s="6">
        <v>21.86</v>
      </c>
      <c r="J135" s="6">
        <v>55.1</v>
      </c>
    </row>
    <row r="136" spans="1:10" ht="16" x14ac:dyDescent="0.2">
      <c r="A136" s="3" t="s">
        <v>132</v>
      </c>
      <c r="B136" s="4" t="s">
        <v>15</v>
      </c>
      <c r="C136" s="4" t="s">
        <v>15</v>
      </c>
      <c r="D136" s="4" t="s">
        <v>15</v>
      </c>
      <c r="E136" s="4">
        <v>3500</v>
      </c>
      <c r="F136" s="5">
        <v>3500</v>
      </c>
      <c r="G136" s="4" t="s">
        <v>15</v>
      </c>
      <c r="H136" s="4">
        <v>3500</v>
      </c>
      <c r="I136" s="4">
        <v>3500</v>
      </c>
      <c r="J136" s="4">
        <v>3500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-328000000</v>
      </c>
      <c r="C139" s="4">
        <v>-196000000</v>
      </c>
      <c r="D139" s="4">
        <v>-75000000</v>
      </c>
      <c r="E139" s="4">
        <v>-82000000</v>
      </c>
      <c r="F139" s="5">
        <v>-122000000</v>
      </c>
      <c r="G139" s="4">
        <v>-45000000</v>
      </c>
      <c r="H139" s="4">
        <v>30000000</v>
      </c>
      <c r="I139" s="4">
        <v>-79000000</v>
      </c>
      <c r="J139" s="4">
        <v>-28000000</v>
      </c>
    </row>
    <row r="140" spans="1:10" ht="16" x14ac:dyDescent="0.2">
      <c r="A140" s="3" t="s">
        <v>134</v>
      </c>
      <c r="B140" s="4">
        <v>338000000</v>
      </c>
      <c r="C140" s="4">
        <v>463000000</v>
      </c>
      <c r="D140" s="4">
        <v>526000000</v>
      </c>
      <c r="E140" s="4">
        <v>567000000</v>
      </c>
      <c r="F140" s="5">
        <v>541000000</v>
      </c>
      <c r="G140" s="4">
        <v>138000000</v>
      </c>
      <c r="H140" s="4">
        <v>137000000</v>
      </c>
      <c r="I140" s="4">
        <v>140000000</v>
      </c>
      <c r="J140" s="4">
        <v>126000000</v>
      </c>
    </row>
    <row r="141" spans="1:10" ht="16" x14ac:dyDescent="0.2">
      <c r="A141" s="3" t="s">
        <v>135</v>
      </c>
      <c r="B141" s="4">
        <v>302000000</v>
      </c>
      <c r="C141" s="4">
        <v>28000000</v>
      </c>
      <c r="D141" s="4">
        <v>68000000</v>
      </c>
      <c r="E141" s="4">
        <v>199000000</v>
      </c>
      <c r="F141" s="5">
        <v>223000000</v>
      </c>
      <c r="G141" s="4">
        <v>33000000</v>
      </c>
      <c r="H141" s="4">
        <v>52000000</v>
      </c>
      <c r="I141" s="4">
        <v>89000000</v>
      </c>
      <c r="J141" s="4">
        <v>49000000</v>
      </c>
    </row>
    <row r="142" spans="1:10" ht="16" x14ac:dyDescent="0.2">
      <c r="A142" s="30" t="s">
        <v>136</v>
      </c>
      <c r="B142" s="28">
        <v>76000000</v>
      </c>
      <c r="C142" s="28">
        <v>85000000</v>
      </c>
      <c r="D142" s="28">
        <v>97000000</v>
      </c>
      <c r="E142" s="28">
        <v>174000000</v>
      </c>
      <c r="F142" s="29">
        <v>225000000</v>
      </c>
      <c r="G142" s="28">
        <v>36000000</v>
      </c>
      <c r="H142" s="28">
        <v>62000000</v>
      </c>
      <c r="I142" s="28">
        <v>72000000</v>
      </c>
      <c r="J142" s="28">
        <v>55000000</v>
      </c>
    </row>
    <row r="143" spans="1:10" ht="16" x14ac:dyDescent="0.2">
      <c r="A143" s="12" t="s">
        <v>189</v>
      </c>
      <c r="B143" s="22">
        <f t="shared" ref="B143:J143" si="7">B142/B2</f>
        <v>8.6461888509670085E-2</v>
      </c>
      <c r="C143" s="22">
        <f t="shared" si="7"/>
        <v>8.790072388831438E-2</v>
      </c>
      <c r="D143" s="22">
        <f t="shared" si="7"/>
        <v>6.9985569985569984E-2</v>
      </c>
      <c r="E143" s="22">
        <f t="shared" si="7"/>
        <v>9.3097913322632425E-2</v>
      </c>
      <c r="F143" s="22">
        <f t="shared" si="7"/>
        <v>0.11676180591593149</v>
      </c>
      <c r="G143" s="22">
        <f t="shared" si="7"/>
        <v>0.08</v>
      </c>
      <c r="H143" s="22">
        <f t="shared" si="7"/>
        <v>0.10973451327433628</v>
      </c>
      <c r="I143" s="22">
        <f t="shared" si="7"/>
        <v>0.15720524017467249</v>
      </c>
      <c r="J143" s="22">
        <f t="shared" si="7"/>
        <v>0.1211453744493392</v>
      </c>
    </row>
    <row r="144" spans="1:10" ht="16" x14ac:dyDescent="0.2">
      <c r="A144" s="3" t="s">
        <v>137</v>
      </c>
      <c r="B144" s="4">
        <v>-32000000</v>
      </c>
      <c r="C144" s="4">
        <v>-53000000</v>
      </c>
      <c r="D144" s="4">
        <v>-29000000</v>
      </c>
      <c r="E144" s="4">
        <v>-9000000</v>
      </c>
      <c r="F144" s="5">
        <v>-21000000</v>
      </c>
      <c r="G144" s="4">
        <v>-10000000</v>
      </c>
      <c r="H144" s="4">
        <v>-1000000</v>
      </c>
      <c r="I144" s="4">
        <v>-3000000</v>
      </c>
      <c r="J144" s="4">
        <v>-7000000</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258000000</v>
      </c>
      <c r="C146" s="4">
        <v>-4000000</v>
      </c>
      <c r="D146" s="4" t="s">
        <v>15</v>
      </c>
      <c r="E146" s="4">
        <v>34000000</v>
      </c>
      <c r="F146" s="5">
        <v>19000000</v>
      </c>
      <c r="G146" s="4">
        <v>7000000</v>
      </c>
      <c r="H146" s="4">
        <v>-9000000</v>
      </c>
      <c r="I146" s="4">
        <v>20000000</v>
      </c>
      <c r="J146" s="4">
        <v>1000000</v>
      </c>
    </row>
    <row r="147" spans="1:10" ht="16" x14ac:dyDescent="0.2">
      <c r="A147" s="3" t="s">
        <v>140</v>
      </c>
      <c r="B147" s="4">
        <v>-12000000</v>
      </c>
      <c r="C147" s="4">
        <v>-24000000</v>
      </c>
      <c r="D147" s="4">
        <v>80000000</v>
      </c>
      <c r="E147" s="4">
        <v>-138000000</v>
      </c>
      <c r="F147" s="5">
        <v>-132000000</v>
      </c>
      <c r="G147" s="4">
        <v>36000000</v>
      </c>
      <c r="H147" s="4">
        <v>-68000000</v>
      </c>
      <c r="I147" s="4">
        <v>21000000</v>
      </c>
      <c r="J147" s="4">
        <v>-121000000</v>
      </c>
    </row>
    <row r="148" spans="1:10" ht="16" x14ac:dyDescent="0.2">
      <c r="A148" s="3" t="s">
        <v>141</v>
      </c>
      <c r="B148" s="4">
        <v>-45000000</v>
      </c>
      <c r="C148" s="4">
        <v>7000000</v>
      </c>
      <c r="D148" s="4">
        <v>-42000000</v>
      </c>
      <c r="E148" s="4">
        <v>-114000000</v>
      </c>
      <c r="F148" s="5">
        <v>-26000000</v>
      </c>
      <c r="G148" s="4">
        <v>-8000000</v>
      </c>
      <c r="H148" s="4">
        <v>-47000000</v>
      </c>
      <c r="I148" s="4">
        <v>30000000</v>
      </c>
      <c r="J148" s="4">
        <v>-1000000</v>
      </c>
    </row>
    <row r="149" spans="1:10" ht="16" x14ac:dyDescent="0.2">
      <c r="A149" s="3" t="s">
        <v>142</v>
      </c>
      <c r="B149" s="4">
        <v>-26000000</v>
      </c>
      <c r="C149" s="4">
        <v>-25000000</v>
      </c>
      <c r="D149" s="4">
        <v>31000000</v>
      </c>
      <c r="E149" s="4">
        <v>-16000000</v>
      </c>
      <c r="F149" s="5">
        <v>-165000000</v>
      </c>
      <c r="G149" s="4">
        <v>-7000000</v>
      </c>
      <c r="H149" s="4">
        <v>-8000000</v>
      </c>
      <c r="I149" s="4">
        <v>-60000000</v>
      </c>
      <c r="J149" s="4">
        <v>-90000000</v>
      </c>
    </row>
    <row r="150" spans="1:10" ht="16" x14ac:dyDescent="0.2">
      <c r="A150" s="3" t="s">
        <v>143</v>
      </c>
      <c r="B150" s="4" t="s">
        <v>15</v>
      </c>
      <c r="C150" s="4" t="s">
        <v>15</v>
      </c>
      <c r="D150" s="4" t="s">
        <v>15</v>
      </c>
      <c r="E150" s="4" t="s">
        <v>15</v>
      </c>
      <c r="F150" s="5" t="s">
        <v>15</v>
      </c>
      <c r="G150" s="4" t="s">
        <v>15</v>
      </c>
      <c r="H150" s="4" t="s">
        <v>15</v>
      </c>
      <c r="I150" s="4" t="s">
        <v>15</v>
      </c>
      <c r="J150" s="4" t="s">
        <v>15</v>
      </c>
    </row>
    <row r="151" spans="1:10" ht="16" x14ac:dyDescent="0.2">
      <c r="A151" s="3" t="s">
        <v>144</v>
      </c>
      <c r="B151" s="4">
        <v>31000000</v>
      </c>
      <c r="C151" s="4">
        <v>-14000000</v>
      </c>
      <c r="D151" s="4">
        <v>59000000</v>
      </c>
      <c r="E151" s="4">
        <v>58000000</v>
      </c>
      <c r="F151" s="5">
        <v>66000000</v>
      </c>
      <c r="G151" s="4">
        <v>27000000</v>
      </c>
      <c r="H151" s="4">
        <v>36000000</v>
      </c>
      <c r="I151" s="4">
        <v>29000000</v>
      </c>
      <c r="J151" s="4">
        <v>-26000000</v>
      </c>
    </row>
    <row r="152" spans="1:10" ht="16" x14ac:dyDescent="0.2">
      <c r="A152" s="3" t="s">
        <v>145</v>
      </c>
      <c r="B152" s="4">
        <v>28000000</v>
      </c>
      <c r="C152" s="4">
        <v>8000000</v>
      </c>
      <c r="D152" s="4">
        <v>32000000</v>
      </c>
      <c r="E152" s="4">
        <v>-66000000</v>
      </c>
      <c r="F152" s="5">
        <v>-7000000</v>
      </c>
      <c r="G152" s="4">
        <v>24000000</v>
      </c>
      <c r="H152" s="4">
        <v>-49000000</v>
      </c>
      <c r="I152" s="4">
        <v>22000000</v>
      </c>
      <c r="J152" s="4">
        <v>-4000000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300000000</v>
      </c>
      <c r="C154" s="4">
        <v>271000000</v>
      </c>
      <c r="D154" s="4">
        <v>599000000</v>
      </c>
      <c r="E154" s="4">
        <v>546000000</v>
      </c>
      <c r="F154" s="5">
        <v>510000000</v>
      </c>
      <c r="G154" s="4">
        <v>162000000</v>
      </c>
      <c r="H154" s="4">
        <v>151000000</v>
      </c>
      <c r="I154" s="4">
        <v>171000000</v>
      </c>
      <c r="J154" s="4">
        <v>26000000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-44000000</v>
      </c>
      <c r="C159" s="4">
        <v>-91000000</v>
      </c>
      <c r="D159" s="4">
        <v>-143000000</v>
      </c>
      <c r="E159" s="4">
        <v>-111000000</v>
      </c>
      <c r="F159" s="5">
        <v>-116000000</v>
      </c>
      <c r="G159" s="4">
        <v>-26000000</v>
      </c>
      <c r="H159" s="4">
        <v>-32000000</v>
      </c>
      <c r="I159" s="4">
        <v>-26000000</v>
      </c>
      <c r="J159" s="4">
        <v>-32000000</v>
      </c>
    </row>
    <row r="160" spans="1:10" ht="16" x14ac:dyDescent="0.2">
      <c r="A160" s="3" t="s">
        <v>153</v>
      </c>
      <c r="B160" s="4">
        <v>-44000000</v>
      </c>
      <c r="C160" s="4">
        <v>-91000000</v>
      </c>
      <c r="D160" s="4">
        <v>-143000000</v>
      </c>
      <c r="E160" s="4">
        <v>-111000000</v>
      </c>
      <c r="F160" s="5">
        <v>-116000000</v>
      </c>
      <c r="G160" s="4">
        <v>-26000000</v>
      </c>
      <c r="H160" s="4">
        <v>-32000000</v>
      </c>
      <c r="I160" s="4">
        <v>-26000000</v>
      </c>
      <c r="J160" s="4">
        <v>-32000000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t="s">
        <v>15</v>
      </c>
      <c r="C162" s="4" t="s">
        <v>15</v>
      </c>
      <c r="D162" s="4" t="s">
        <v>15</v>
      </c>
      <c r="E162" s="4" t="s">
        <v>15</v>
      </c>
      <c r="F162" s="5" t="s">
        <v>15</v>
      </c>
      <c r="G162" s="4" t="s">
        <v>15</v>
      </c>
      <c r="H162" s="4" t="s">
        <v>15</v>
      </c>
      <c r="I162" s="4" t="s">
        <v>15</v>
      </c>
      <c r="J162" s="4" t="s">
        <v>15</v>
      </c>
    </row>
    <row r="163" spans="1:10" ht="16" x14ac:dyDescent="0.2">
      <c r="A163" s="3" t="s">
        <v>156</v>
      </c>
      <c r="B163" s="4" t="s">
        <v>15</v>
      </c>
      <c r="C163" s="4" t="s">
        <v>15</v>
      </c>
      <c r="D163" s="4" t="s">
        <v>15</v>
      </c>
      <c r="E163" s="4" t="s">
        <v>15</v>
      </c>
      <c r="F163" s="5" t="s">
        <v>15</v>
      </c>
      <c r="G163" s="4" t="s">
        <v>15</v>
      </c>
      <c r="H163" s="4" t="s">
        <v>15</v>
      </c>
      <c r="I163" s="4" t="s">
        <v>15</v>
      </c>
      <c r="J163" s="4" t="s">
        <v>15</v>
      </c>
    </row>
    <row r="164" spans="1:10" ht="16" x14ac:dyDescent="0.2">
      <c r="A164" s="3" t="s">
        <v>157</v>
      </c>
      <c r="B164" s="4" t="s">
        <v>15</v>
      </c>
      <c r="C164" s="4" t="s">
        <v>15</v>
      </c>
      <c r="D164" s="4" t="s">
        <v>15</v>
      </c>
      <c r="E164" s="4" t="s">
        <v>15</v>
      </c>
      <c r="F164" s="5" t="s">
        <v>15</v>
      </c>
      <c r="G164" s="4" t="s">
        <v>15</v>
      </c>
      <c r="H164" s="4" t="s">
        <v>15</v>
      </c>
      <c r="I164" s="4" t="s">
        <v>15</v>
      </c>
      <c r="J164" s="4" t="s">
        <v>15</v>
      </c>
    </row>
    <row r="165" spans="1:10" ht="16" x14ac:dyDescent="0.2">
      <c r="A165" s="3" t="s">
        <v>158</v>
      </c>
      <c r="B165" s="4" t="s">
        <v>15</v>
      </c>
      <c r="C165" s="4">
        <v>-745000000</v>
      </c>
      <c r="D165" s="4" t="s">
        <v>15</v>
      </c>
      <c r="E165" s="4" t="s">
        <v>15</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v>-745000000</v>
      </c>
      <c r="D167" s="4" t="s">
        <v>15</v>
      </c>
      <c r="E167" s="4" t="s">
        <v>15</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-181000000</v>
      </c>
      <c r="C169" s="4">
        <v>-129000000</v>
      </c>
      <c r="D169" s="4">
        <v>-14000000</v>
      </c>
      <c r="E169" s="4">
        <v>1298000000</v>
      </c>
      <c r="F169" s="5">
        <v>901000000</v>
      </c>
      <c r="G169" s="4">
        <v>1000000</v>
      </c>
      <c r="H169" s="4">
        <v>900000000</v>
      </c>
      <c r="I169" s="4" t="s">
        <v>15</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-225000000</v>
      </c>
      <c r="C171" s="4">
        <v>-965000000</v>
      </c>
      <c r="D171" s="4">
        <v>-157000000</v>
      </c>
      <c r="E171" s="4">
        <v>1187000000</v>
      </c>
      <c r="F171" s="5">
        <v>785000000</v>
      </c>
      <c r="G171" s="4">
        <v>-25000000</v>
      </c>
      <c r="H171" s="4">
        <v>868000000</v>
      </c>
      <c r="I171" s="4">
        <v>-26000000</v>
      </c>
      <c r="J171" s="4">
        <v>-32000000</v>
      </c>
    </row>
    <row r="172" spans="1:10" ht="16" x14ac:dyDescent="0.2">
      <c r="A172" s="3" t="s">
        <v>164</v>
      </c>
      <c r="B172" s="4" t="s">
        <v>15</v>
      </c>
      <c r="C172" s="4" t="s">
        <v>15</v>
      </c>
      <c r="D172" s="4" t="s">
        <v>15</v>
      </c>
      <c r="E172" s="4">
        <v>-337000000</v>
      </c>
      <c r="F172" s="5">
        <v>-1000000</v>
      </c>
      <c r="G172" s="4" t="s">
        <v>15</v>
      </c>
      <c r="H172" s="4">
        <v>-1000000</v>
      </c>
      <c r="I172" s="4" t="s">
        <v>15</v>
      </c>
      <c r="J172" s="4" t="s">
        <v>15</v>
      </c>
    </row>
    <row r="173" spans="1:10" ht="16" x14ac:dyDescent="0.2">
      <c r="A173" s="3" t="s">
        <v>165</v>
      </c>
      <c r="B173" s="4" t="s">
        <v>15</v>
      </c>
      <c r="C173" s="4" t="s">
        <v>15</v>
      </c>
      <c r="D173" s="4" t="s">
        <v>15</v>
      </c>
      <c r="E173" s="4" t="s">
        <v>15</v>
      </c>
      <c r="F173" s="5" t="s">
        <v>15</v>
      </c>
      <c r="G173" s="4" t="s">
        <v>15</v>
      </c>
      <c r="H173" s="4" t="s">
        <v>15</v>
      </c>
      <c r="I173" s="4" t="s">
        <v>15</v>
      </c>
      <c r="J173" s="4" t="s">
        <v>15</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t="s">
        <v>15</v>
      </c>
      <c r="D175" s="4" t="s">
        <v>15</v>
      </c>
      <c r="E175" s="4" t="s">
        <v>15</v>
      </c>
      <c r="F175" s="5" t="s">
        <v>15</v>
      </c>
      <c r="G175" s="4" t="s">
        <v>15</v>
      </c>
      <c r="H175" s="4" t="s">
        <v>15</v>
      </c>
      <c r="I175" s="4" t="s">
        <v>15</v>
      </c>
      <c r="J175" s="4" t="s">
        <v>15</v>
      </c>
    </row>
    <row r="176" spans="1:10" ht="16" x14ac:dyDescent="0.2">
      <c r="A176" s="3" t="s">
        <v>168</v>
      </c>
      <c r="B176" s="4" t="s">
        <v>15</v>
      </c>
      <c r="C176" s="4" t="s">
        <v>15</v>
      </c>
      <c r="D176" s="4" t="s">
        <v>15</v>
      </c>
      <c r="E176" s="4">
        <v>1034000000</v>
      </c>
      <c r="F176" s="5" t="s">
        <v>15</v>
      </c>
      <c r="G176" s="4" t="s">
        <v>15</v>
      </c>
      <c r="H176" s="4" t="s">
        <v>15</v>
      </c>
      <c r="I176" s="4" t="s">
        <v>15</v>
      </c>
      <c r="J176" s="4" t="s">
        <v>15</v>
      </c>
    </row>
    <row r="177" spans="1:10" ht="16" x14ac:dyDescent="0.2">
      <c r="A177" s="3" t="s">
        <v>169</v>
      </c>
      <c r="B177" s="4" t="s">
        <v>15</v>
      </c>
      <c r="C177" s="4" t="s">
        <v>15</v>
      </c>
      <c r="D177" s="4" t="s">
        <v>15</v>
      </c>
      <c r="E177" s="4">
        <v>1034000000</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-59000000</v>
      </c>
      <c r="C179" s="4">
        <v>732000000</v>
      </c>
      <c r="D179" s="4">
        <v>91000000</v>
      </c>
      <c r="E179" s="4">
        <v>-2014000000</v>
      </c>
      <c r="F179" s="5">
        <v>-913000000</v>
      </c>
      <c r="G179" s="4">
        <v>-36000000</v>
      </c>
      <c r="H179" s="4">
        <v>-865000000</v>
      </c>
      <c r="I179" s="4">
        <v>-3000000</v>
      </c>
      <c r="J179" s="4">
        <v>-9000000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-59000000</v>
      </c>
      <c r="C181" s="4">
        <v>732000000</v>
      </c>
      <c r="D181" s="4">
        <v>91000000</v>
      </c>
      <c r="E181" s="4">
        <v>-1317000000</v>
      </c>
      <c r="F181" s="5">
        <v>-914000000</v>
      </c>
      <c r="G181" s="4">
        <v>-36000000</v>
      </c>
      <c r="H181" s="4">
        <v>-866000000</v>
      </c>
      <c r="I181" s="4">
        <v>-3000000</v>
      </c>
      <c r="J181" s="4">
        <v>-9000000</v>
      </c>
    </row>
    <row r="182" spans="1:10" ht="16" x14ac:dyDescent="0.2">
      <c r="A182" s="3" t="s">
        <v>173</v>
      </c>
      <c r="B182" s="4" t="s">
        <v>15</v>
      </c>
      <c r="C182" s="4" t="s">
        <v>15</v>
      </c>
      <c r="D182" s="4">
        <v>-1000000</v>
      </c>
      <c r="E182" s="4">
        <v>-6000000</v>
      </c>
      <c r="F182" s="5">
        <v>-8000000</v>
      </c>
      <c r="G182" s="4">
        <v>-3000000</v>
      </c>
      <c r="H182" s="4" t="s">
        <v>15</v>
      </c>
      <c r="I182" s="4">
        <v>-4000000</v>
      </c>
      <c r="J182" s="4">
        <v>-1000000</v>
      </c>
    </row>
    <row r="183" spans="1:10" ht="16" x14ac:dyDescent="0.2">
      <c r="A183" s="3" t="s">
        <v>174</v>
      </c>
      <c r="B183" s="4">
        <v>16000000</v>
      </c>
      <c r="C183" s="4">
        <v>38000000</v>
      </c>
      <c r="D183" s="4">
        <v>533000000</v>
      </c>
      <c r="E183" s="4">
        <v>416000000</v>
      </c>
      <c r="F183" s="5">
        <v>381000000</v>
      </c>
      <c r="G183" s="4">
        <v>101000000</v>
      </c>
      <c r="H183" s="4">
        <v>153000000</v>
      </c>
      <c r="I183" s="4">
        <v>142000000</v>
      </c>
      <c r="J183" s="4">
        <v>-15000000</v>
      </c>
    </row>
    <row r="184" spans="1:10" ht="16" x14ac:dyDescent="0.2">
      <c r="A184" s="3" t="s">
        <v>45</v>
      </c>
      <c r="B184" s="4">
        <v>252000000</v>
      </c>
      <c r="C184" s="4">
        <v>250000000</v>
      </c>
      <c r="D184" s="4">
        <v>469000000</v>
      </c>
      <c r="E184" s="4">
        <v>530000000</v>
      </c>
      <c r="F184" s="5">
        <v>426000000</v>
      </c>
      <c r="G184" s="4">
        <v>113000000</v>
      </c>
      <c r="H184" s="4">
        <v>161000000</v>
      </c>
      <c r="I184" s="4">
        <v>59000000</v>
      </c>
      <c r="J184" s="4">
        <v>93000000</v>
      </c>
    </row>
    <row r="185" spans="1:10" ht="16" x14ac:dyDescent="0.2">
      <c r="A185" s="3" t="s">
        <v>46</v>
      </c>
      <c r="B185" s="6">
        <v>28.67</v>
      </c>
      <c r="C185" s="6">
        <v>25.85</v>
      </c>
      <c r="D185" s="6">
        <v>33.840000000000003</v>
      </c>
      <c r="E185" s="6">
        <v>28.36</v>
      </c>
      <c r="F185" s="7">
        <v>22.11</v>
      </c>
      <c r="G185" s="6">
        <v>28.37</v>
      </c>
      <c r="H185" s="6">
        <v>28.36</v>
      </c>
      <c r="I185" s="6">
        <v>24.88</v>
      </c>
      <c r="J185" s="6">
        <v>22.11</v>
      </c>
    </row>
    <row r="186" spans="1:10" ht="16" x14ac:dyDescent="0.2">
      <c r="A186" s="3" t="s">
        <v>175</v>
      </c>
      <c r="B186" s="4" t="s">
        <v>15</v>
      </c>
      <c r="C186" s="4">
        <v>745000000</v>
      </c>
      <c r="D186" s="4" t="s">
        <v>15</v>
      </c>
      <c r="E186" s="4" t="s">
        <v>15</v>
      </c>
      <c r="F186" s="5" t="s">
        <v>15</v>
      </c>
      <c r="G186" s="4" t="s">
        <v>15</v>
      </c>
      <c r="H186" s="4" t="s">
        <v>15</v>
      </c>
      <c r="I186" s="4" t="s">
        <v>15</v>
      </c>
      <c r="J186" s="4" t="s">
        <v>15</v>
      </c>
    </row>
    <row r="187" spans="1:10" ht="16" x14ac:dyDescent="0.2">
      <c r="A187" s="3" t="s">
        <v>176</v>
      </c>
      <c r="B187" s="4">
        <v>256000000</v>
      </c>
      <c r="C187" s="4">
        <v>180000000</v>
      </c>
      <c r="D187" s="4">
        <v>456000000</v>
      </c>
      <c r="E187" s="4">
        <v>435000000</v>
      </c>
      <c r="F187" s="5">
        <v>394000000</v>
      </c>
      <c r="G187" s="4">
        <v>136000000</v>
      </c>
      <c r="H187" s="4">
        <v>119000000</v>
      </c>
      <c r="I187" s="4">
        <v>145000000</v>
      </c>
      <c r="J187" s="4">
        <v>-6000000</v>
      </c>
    </row>
    <row r="188" spans="1:10" ht="16" x14ac:dyDescent="0.2">
      <c r="A188" s="30" t="s">
        <v>177</v>
      </c>
      <c r="B188" s="28">
        <v>256000000</v>
      </c>
      <c r="C188" s="28">
        <v>180000000</v>
      </c>
      <c r="D188" s="28">
        <v>456000000</v>
      </c>
      <c r="E188" s="28">
        <v>435000000</v>
      </c>
      <c r="F188" s="29">
        <v>394000000</v>
      </c>
      <c r="G188" s="28">
        <v>136000000</v>
      </c>
      <c r="H188" s="28">
        <v>122529412</v>
      </c>
      <c r="I188" s="28">
        <v>145000000</v>
      </c>
      <c r="J188" s="28">
        <v>-6000000</v>
      </c>
    </row>
    <row r="189" spans="1:10" ht="16" x14ac:dyDescent="0.2">
      <c r="A189" s="23" t="s">
        <v>190</v>
      </c>
      <c r="B189" s="24"/>
      <c r="C189" s="25">
        <f>(C188/B188)-1</f>
        <v>-0.296875</v>
      </c>
      <c r="D189" s="25">
        <f>(D188/C188)-1</f>
        <v>1.5333333333333332</v>
      </c>
      <c r="E189" s="25">
        <f>(E188/D188)-1</f>
        <v>-4.6052631578947345E-2</v>
      </c>
      <c r="F189" s="25">
        <f t="shared" ref="F189:J189" si="8">(F188/E188)-1</f>
        <v>-9.4252873563218431E-2</v>
      </c>
      <c r="G189" s="25"/>
      <c r="H189" s="25">
        <f t="shared" si="8"/>
        <v>-9.9048441176470603E-2</v>
      </c>
      <c r="I189" s="25">
        <f t="shared" si="8"/>
        <v>0.18338934002229612</v>
      </c>
      <c r="J189" s="25">
        <f t="shared" si="8"/>
        <v>-1.0413793103448277</v>
      </c>
    </row>
    <row r="190" spans="1:10" ht="16" x14ac:dyDescent="0.2">
      <c r="A190" s="26" t="s">
        <v>191</v>
      </c>
      <c r="B190" s="27">
        <f t="shared" ref="B190:J190" si="9">B188/B2</f>
        <v>0.29124004550625709</v>
      </c>
      <c r="C190" s="27">
        <f t="shared" si="9"/>
        <v>0.18614270941054809</v>
      </c>
      <c r="D190" s="27">
        <f t="shared" si="9"/>
        <v>0.32900432900432902</v>
      </c>
      <c r="E190" s="27">
        <f t="shared" si="9"/>
        <v>0.23274478330658105</v>
      </c>
      <c r="F190" s="27">
        <f t="shared" si="9"/>
        <v>0.20446289569278672</v>
      </c>
      <c r="G190" s="27">
        <f t="shared" si="9"/>
        <v>0.30222222222222223</v>
      </c>
      <c r="H190" s="27">
        <f t="shared" si="9"/>
        <v>0.21686621592920355</v>
      </c>
      <c r="I190" s="27">
        <f t="shared" si="9"/>
        <v>0.31659388646288211</v>
      </c>
      <c r="J190" s="27">
        <f t="shared" si="9"/>
        <v>-1.3215859030837005E-2</v>
      </c>
    </row>
    <row r="191" spans="1:10" ht="16" x14ac:dyDescent="0.2">
      <c r="A191" s="3" t="s">
        <v>178</v>
      </c>
      <c r="B191" s="4" t="s">
        <v>15</v>
      </c>
      <c r="C191" s="4">
        <v>180000000</v>
      </c>
      <c r="D191" s="4">
        <v>456000000</v>
      </c>
      <c r="E191" s="4">
        <v>435000000</v>
      </c>
      <c r="F191" s="5">
        <v>394000000</v>
      </c>
      <c r="G191" s="4">
        <v>136000000</v>
      </c>
      <c r="H191" s="4">
        <v>119000000</v>
      </c>
      <c r="I191" s="4">
        <v>145000000</v>
      </c>
      <c r="J191" s="4">
        <v>-6000000</v>
      </c>
    </row>
    <row r="192" spans="1:10" ht="16" x14ac:dyDescent="0.2">
      <c r="A192" s="3" t="s">
        <v>179</v>
      </c>
      <c r="B192" s="6">
        <v>0.32</v>
      </c>
      <c r="C192" s="6">
        <v>0.23</v>
      </c>
      <c r="D192" s="6">
        <v>0.56999999999999995</v>
      </c>
      <c r="E192" s="6">
        <v>0.56999999999999995</v>
      </c>
      <c r="F192" s="7">
        <v>0.49</v>
      </c>
      <c r="G192" s="6">
        <v>0.17</v>
      </c>
      <c r="H192" s="6">
        <v>0.15</v>
      </c>
      <c r="I192" s="6">
        <v>0.18</v>
      </c>
      <c r="J192" s="6">
        <v>-0.01</v>
      </c>
    </row>
    <row r="193" spans="1:10" ht="16" x14ac:dyDescent="0.2">
      <c r="A193" s="3" t="s">
        <v>180</v>
      </c>
      <c r="B193" s="4" t="s">
        <v>15</v>
      </c>
      <c r="C193" s="4" t="s">
        <v>15</v>
      </c>
      <c r="D193" s="4" t="s">
        <v>15</v>
      </c>
      <c r="E193" s="6">
        <v>40.5</v>
      </c>
      <c r="F193" s="7">
        <v>49.18</v>
      </c>
      <c r="G193" s="4" t="s">
        <v>15</v>
      </c>
      <c r="H193" s="6">
        <v>44.38</v>
      </c>
      <c r="I193" s="6">
        <v>46.1</v>
      </c>
      <c r="J193" s="6">
        <v>51.31</v>
      </c>
    </row>
    <row r="194" spans="1:10" ht="16" x14ac:dyDescent="0.2">
      <c r="A194" s="3" t="s">
        <v>181</v>
      </c>
      <c r="B194" s="6">
        <v>-0.91</v>
      </c>
      <c r="C194" s="6">
        <v>-1.38</v>
      </c>
      <c r="D194" s="6">
        <v>-7.99</v>
      </c>
      <c r="E194" s="6">
        <v>-6.66</v>
      </c>
      <c r="F194" s="7">
        <v>-4.18</v>
      </c>
      <c r="G194" s="6">
        <v>-3.6</v>
      </c>
      <c r="H194" s="6">
        <v>5.03</v>
      </c>
      <c r="I194" s="6">
        <v>-2.16</v>
      </c>
      <c r="J194" s="6">
        <v>-0.93</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95 A130:J142 A97:J104 A96 G96 A106:J125 A105 A144:J187 A188 H188 A128:J128 A126:A127 C126:J12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0A5ED-CACC-9745-AF44-3F580637D79B}">
  <dimension ref="A1:R110"/>
  <sheetViews>
    <sheetView tabSelected="1" workbookViewId="0">
      <selection activeCell="I20" sqref="I20"/>
    </sheetView>
  </sheetViews>
  <sheetFormatPr baseColWidth="10" defaultRowHeight="15" x14ac:dyDescent="0.2"/>
  <cols>
    <col min="1" max="18" width="18.83203125" customWidth="1"/>
  </cols>
  <sheetData>
    <row r="1" spans="1:18" s="118" customFormat="1" ht="22" customHeight="1" x14ac:dyDescent="0.2">
      <c r="A1" s="117" t="e" vm="1">
        <v>#VALUE!</v>
      </c>
      <c r="B1" s="117"/>
      <c r="C1" s="117"/>
      <c r="D1" s="117"/>
      <c r="E1" s="117"/>
      <c r="F1" s="117"/>
      <c r="G1" s="117"/>
      <c r="H1" s="117"/>
      <c r="I1" s="117"/>
      <c r="J1" s="117"/>
      <c r="K1" s="117"/>
      <c r="L1" s="117"/>
      <c r="M1" s="117"/>
      <c r="N1" s="117"/>
      <c r="O1" s="117"/>
      <c r="P1" s="117"/>
      <c r="Q1" s="117"/>
      <c r="R1" s="117"/>
    </row>
    <row r="2" spans="1:18" s="118" customFormat="1" ht="22" customHeight="1" thickBot="1" x14ac:dyDescent="0.25">
      <c r="A2" s="117"/>
      <c r="B2" s="117"/>
      <c r="C2" s="117"/>
      <c r="D2" s="117"/>
      <c r="E2" s="117"/>
      <c r="F2" s="117"/>
      <c r="G2" s="117"/>
      <c r="H2" s="117"/>
      <c r="I2" s="117"/>
      <c r="J2" s="117"/>
      <c r="K2" s="117"/>
      <c r="L2" s="117"/>
      <c r="M2" s="117"/>
      <c r="N2" s="117"/>
      <c r="O2" s="117"/>
      <c r="P2" s="117"/>
      <c r="Q2" s="117"/>
      <c r="R2" s="117"/>
    </row>
    <row r="3" spans="1:18" ht="22" customHeight="1" x14ac:dyDescent="0.2">
      <c r="A3" s="110">
        <v>33455000000</v>
      </c>
      <c r="B3" s="37" t="s">
        <v>192</v>
      </c>
      <c r="C3" s="38">
        <f>Financials!F8*0.01</f>
        <v>0.49200000000000005</v>
      </c>
      <c r="D3" s="37" t="s">
        <v>193</v>
      </c>
      <c r="E3" s="38">
        <f>SUM(C11:E11)/3</f>
        <v>0.29396582552961487</v>
      </c>
      <c r="F3" s="39" t="s">
        <v>194</v>
      </c>
      <c r="G3" s="40">
        <f>AVERAGE(Financials!C129:J129)</f>
        <v>1.5636619583381667E-3</v>
      </c>
      <c r="H3" s="39" t="s">
        <v>195</v>
      </c>
      <c r="I3" s="41">
        <f>J15*(1+I7)/(I6-I7)</f>
        <v>31962191975.852398</v>
      </c>
      <c r="J3" s="42" t="s">
        <v>196</v>
      </c>
      <c r="K3" s="43">
        <f>(Financials!F172*-1)/Model!A3</f>
        <v>2.9890898221491557E-5</v>
      </c>
      <c r="L3" s="44" t="s">
        <v>197</v>
      </c>
      <c r="M3" s="45"/>
      <c r="N3" s="119" t="s">
        <v>198</v>
      </c>
      <c r="O3" s="120"/>
      <c r="P3" s="45"/>
      <c r="Q3" s="45"/>
      <c r="R3" s="45"/>
    </row>
    <row r="4" spans="1:18" ht="22" customHeight="1" x14ac:dyDescent="0.2">
      <c r="A4" s="46">
        <f>Financials!F56-Financials!F96-Financials!F105</f>
        <v>-2378000000</v>
      </c>
      <c r="B4" s="47" t="s">
        <v>199</v>
      </c>
      <c r="C4" s="48">
        <f>Financials!F17*0.01</f>
        <v>-5.9699999999999996E-2</v>
      </c>
      <c r="D4" s="47" t="s">
        <v>200</v>
      </c>
      <c r="E4" s="48">
        <f>SUM(C13:E13)/3</f>
        <v>-0.30881754327747357</v>
      </c>
      <c r="F4" s="49" t="s">
        <v>201</v>
      </c>
      <c r="G4" s="50">
        <f>A5*(1+(5*G3))</f>
        <v>811960915.1033932</v>
      </c>
      <c r="H4" s="49" t="s">
        <v>202</v>
      </c>
      <c r="I4" s="51">
        <f>NPV(I6,F15,G15,H15,I15,(J15+I3))</f>
        <v>24843163670.461693</v>
      </c>
      <c r="J4" s="49" t="s">
        <v>203</v>
      </c>
      <c r="K4" s="52" cm="1">
        <f t="array" ref="K4">_FV(A1,"Change (%)",TRUE)</f>
        <v>-2.4860000000000003E-4</v>
      </c>
      <c r="L4" s="53" t="s">
        <v>204</v>
      </c>
      <c r="M4" s="45"/>
      <c r="N4" s="121" t="s">
        <v>205</v>
      </c>
      <c r="O4" s="122"/>
      <c r="P4" s="45"/>
      <c r="Q4" s="45"/>
      <c r="R4" s="45"/>
    </row>
    <row r="5" spans="1:18" ht="22" customHeight="1" x14ac:dyDescent="0.2">
      <c r="A5" s="111">
        <f>Financials!F128</f>
        <v>805662000</v>
      </c>
      <c r="B5" s="47" t="s">
        <v>206</v>
      </c>
      <c r="C5" s="48">
        <f>F14</f>
        <v>0.29980750721847932</v>
      </c>
      <c r="D5" s="54" t="s">
        <v>207</v>
      </c>
      <c r="E5" s="48">
        <f>SUM(C16:E16)/3</f>
        <v>0.39680190058479531</v>
      </c>
      <c r="F5" s="49" t="s">
        <v>208</v>
      </c>
      <c r="G5" s="50">
        <f>Financials!F56</f>
        <v>1142000000</v>
      </c>
      <c r="H5" s="49" t="s">
        <v>209</v>
      </c>
      <c r="I5" s="51">
        <f>I4+G5-G6</f>
        <v>22465163670.461693</v>
      </c>
      <c r="J5" s="49" t="s">
        <v>210</v>
      </c>
      <c r="K5" s="55" cm="1">
        <f t="array" ref="K5">_FV(A1,"Price")</f>
        <v>40.21</v>
      </c>
      <c r="L5" s="56" t="s">
        <v>211</v>
      </c>
      <c r="M5" s="45"/>
      <c r="N5" s="57" t="s">
        <v>212</v>
      </c>
      <c r="O5" s="58">
        <f>Financials!F20</f>
        <v>1000000</v>
      </c>
      <c r="P5" s="45"/>
      <c r="Q5" s="45"/>
      <c r="R5" s="45"/>
    </row>
    <row r="6" spans="1:18" ht="22" customHeight="1" x14ac:dyDescent="0.2">
      <c r="A6" s="59">
        <f>O20/F10</f>
        <v>16.09961501443696</v>
      </c>
      <c r="B6" s="47" t="s">
        <v>213</v>
      </c>
      <c r="C6" s="48">
        <f>F17</f>
        <v>0.22954764196342636</v>
      </c>
      <c r="D6" s="54" t="s">
        <v>191</v>
      </c>
      <c r="E6" s="48">
        <f>Financials!F33/Financials!F126</f>
        <v>-8.243243243243244E-3</v>
      </c>
      <c r="F6" s="47" t="s">
        <v>214</v>
      </c>
      <c r="G6" s="50">
        <f>Financials!F96+Financials!F105</f>
        <v>3520000000</v>
      </c>
      <c r="H6" s="49" t="s">
        <v>215</v>
      </c>
      <c r="I6" s="52">
        <f>N25</f>
        <v>8.8817588028413122E-2</v>
      </c>
      <c r="J6" s="49" t="s">
        <v>216</v>
      </c>
      <c r="K6" s="60">
        <f>I5/G4</f>
        <v>27.66778948664177</v>
      </c>
      <c r="L6" s="61" t="s">
        <v>217</v>
      </c>
      <c r="M6" s="45"/>
      <c r="N6" s="57" t="s">
        <v>218</v>
      </c>
      <c r="O6" s="58">
        <f>Financials!F96</f>
        <v>3520000000</v>
      </c>
      <c r="P6" s="45"/>
      <c r="Q6" s="45"/>
      <c r="R6" s="45"/>
    </row>
    <row r="7" spans="1:18" ht="22" customHeight="1" thickBot="1" x14ac:dyDescent="0.25">
      <c r="A7" s="62">
        <f>O20/F12</f>
        <v>53.699839486356339</v>
      </c>
      <c r="B7" s="63" t="s">
        <v>219</v>
      </c>
      <c r="C7" s="64">
        <f>F15/A3</f>
        <v>1.4257958451651473E-2</v>
      </c>
      <c r="D7" s="63" t="s">
        <v>220</v>
      </c>
      <c r="E7" s="65">
        <f>(Financials!F16*(1-0.25))/(Financials!F126+Financials!F105+Financials!F96)</f>
        <v>-4.7079694323144102E-3</v>
      </c>
      <c r="F7" s="63" t="s">
        <v>187</v>
      </c>
      <c r="G7" s="66">
        <f>(Financials!F96+Financials!F105)/Financials!F126</f>
        <v>0.23783783783783785</v>
      </c>
      <c r="H7" s="67" t="s">
        <v>221</v>
      </c>
      <c r="I7" s="68">
        <v>2.5000000000000001E-2</v>
      </c>
      <c r="J7" s="69" t="s">
        <v>222</v>
      </c>
      <c r="K7" s="70">
        <f>K6/K5-1</f>
        <v>-0.31191769493554422</v>
      </c>
      <c r="L7" s="71" t="s">
        <v>223</v>
      </c>
      <c r="M7" s="45"/>
      <c r="N7" s="57" t="s">
        <v>224</v>
      </c>
      <c r="O7" s="58">
        <f>Financials!F105</f>
        <v>0</v>
      </c>
      <c r="P7" s="45"/>
      <c r="Q7" s="45"/>
      <c r="R7" s="45"/>
    </row>
    <row r="8" spans="1:18" ht="22" customHeight="1" x14ac:dyDescent="0.2">
      <c r="A8" s="72"/>
      <c r="B8" s="45"/>
      <c r="C8" s="45"/>
      <c r="D8" s="45"/>
      <c r="E8" s="45"/>
      <c r="F8" s="45"/>
      <c r="G8" s="45"/>
      <c r="H8" s="45"/>
      <c r="I8" s="45"/>
      <c r="J8" s="73"/>
      <c r="K8" s="73"/>
      <c r="L8" s="73"/>
      <c r="M8" s="45"/>
      <c r="N8" s="74" t="s">
        <v>205</v>
      </c>
      <c r="O8" s="75">
        <f>O5/(O6+O7)</f>
        <v>2.8409090909090908E-4</v>
      </c>
      <c r="P8" s="45"/>
      <c r="Q8" s="45"/>
      <c r="R8" s="45"/>
    </row>
    <row r="9" spans="1:18" ht="22" customHeight="1" x14ac:dyDescent="0.2">
      <c r="A9" s="76"/>
      <c r="B9" s="77">
        <v>2019</v>
      </c>
      <c r="C9" s="77">
        <v>2020</v>
      </c>
      <c r="D9" s="77">
        <v>2021</v>
      </c>
      <c r="E9" s="78">
        <v>2022</v>
      </c>
      <c r="F9" s="79">
        <v>2023</v>
      </c>
      <c r="G9" s="80">
        <v>2024</v>
      </c>
      <c r="H9" s="80">
        <v>2025</v>
      </c>
      <c r="I9" s="80">
        <v>2026</v>
      </c>
      <c r="J9" s="81">
        <v>2027</v>
      </c>
      <c r="K9" s="73"/>
      <c r="L9" s="73"/>
      <c r="M9" s="73"/>
      <c r="N9" s="57" t="s">
        <v>225</v>
      </c>
      <c r="O9" s="58">
        <f>Financials!F25</f>
        <v>35000000</v>
      </c>
      <c r="P9" s="45"/>
      <c r="Q9" s="45"/>
      <c r="R9" s="45"/>
    </row>
    <row r="10" spans="1:18" ht="22" customHeight="1" x14ac:dyDescent="0.2">
      <c r="A10" s="82" t="s">
        <v>226</v>
      </c>
      <c r="B10" s="83">
        <v>879000000</v>
      </c>
      <c r="C10" s="83">
        <v>967000000</v>
      </c>
      <c r="D10" s="83">
        <v>1386000000</v>
      </c>
      <c r="E10" s="84">
        <v>1869000000</v>
      </c>
      <c r="F10" s="83">
        <v>2078000000</v>
      </c>
      <c r="G10" s="83">
        <v>2611000000</v>
      </c>
      <c r="H10" s="83">
        <v>3652000000</v>
      </c>
      <c r="I10" s="83">
        <v>5481000000</v>
      </c>
      <c r="J10" s="84">
        <v>7067000000</v>
      </c>
      <c r="K10" s="85" t="s">
        <v>227</v>
      </c>
      <c r="L10" s="73"/>
      <c r="N10" s="57" t="s">
        <v>228</v>
      </c>
      <c r="O10" s="58">
        <f>Financials!F24</f>
        <v>-87000000</v>
      </c>
      <c r="P10" s="45"/>
      <c r="Q10" s="45"/>
      <c r="R10" s="45"/>
    </row>
    <row r="11" spans="1:18" ht="22" customHeight="1" x14ac:dyDescent="0.2">
      <c r="A11" s="86"/>
      <c r="B11" s="87"/>
      <c r="C11" s="87">
        <f t="shared" ref="C11:J11" si="0">(C10/B10)-1</f>
        <v>0.10011376564277596</v>
      </c>
      <c r="D11" s="87">
        <f t="shared" si="0"/>
        <v>0.43329886246122018</v>
      </c>
      <c r="E11" s="87">
        <f t="shared" si="0"/>
        <v>0.3484848484848484</v>
      </c>
      <c r="F11" s="88">
        <f t="shared" si="0"/>
        <v>0.11182450508293207</v>
      </c>
      <c r="G11" s="87">
        <f t="shared" si="0"/>
        <v>0.25649663137632328</v>
      </c>
      <c r="H11" s="87">
        <f t="shared" si="0"/>
        <v>0.39869781692837991</v>
      </c>
      <c r="I11" s="87">
        <f t="shared" si="0"/>
        <v>0.50082146768893754</v>
      </c>
      <c r="J11" s="89">
        <f t="shared" si="0"/>
        <v>0.2893632548804963</v>
      </c>
      <c r="K11" s="89">
        <f>SUM(F11:J11)/5</f>
        <v>0.3114407351914138</v>
      </c>
      <c r="L11" s="73"/>
      <c r="M11" s="73"/>
      <c r="N11" s="57" t="s">
        <v>229</v>
      </c>
      <c r="O11" s="90">
        <f>O9/O10</f>
        <v>-0.40229885057471265</v>
      </c>
      <c r="P11" s="45"/>
      <c r="Q11" s="45"/>
      <c r="R11" s="45"/>
    </row>
    <row r="12" spans="1:18" ht="22" customHeight="1" x14ac:dyDescent="0.2">
      <c r="A12" s="82" t="s">
        <v>133</v>
      </c>
      <c r="B12" s="83">
        <v>-328000000</v>
      </c>
      <c r="C12" s="83">
        <v>-196000000</v>
      </c>
      <c r="D12" s="83">
        <v>-75000000</v>
      </c>
      <c r="E12" s="83">
        <v>-82000000</v>
      </c>
      <c r="F12" s="91">
        <v>623000000</v>
      </c>
      <c r="G12" s="83">
        <v>696000000</v>
      </c>
      <c r="H12" s="83">
        <v>1050000000</v>
      </c>
      <c r="I12" s="83">
        <v>1720000000</v>
      </c>
      <c r="J12" s="84">
        <v>2200000000</v>
      </c>
      <c r="K12" s="92" t="s">
        <v>230</v>
      </c>
      <c r="L12" s="73"/>
      <c r="M12" s="73"/>
      <c r="N12" s="57" t="s">
        <v>231</v>
      </c>
      <c r="O12" s="90">
        <f>O8*(1-O11)</f>
        <v>3.9838035527690701E-4</v>
      </c>
      <c r="P12" s="45"/>
      <c r="Q12" s="45"/>
      <c r="R12" s="45"/>
    </row>
    <row r="13" spans="1:18" ht="22" customHeight="1" x14ac:dyDescent="0.2">
      <c r="A13" s="86"/>
      <c r="B13" s="87"/>
      <c r="C13" s="87">
        <f t="shared" ref="C13:J13" si="1">(C12/B12)-1</f>
        <v>-0.40243902439024393</v>
      </c>
      <c r="D13" s="87">
        <f t="shared" si="1"/>
        <v>-0.61734693877551017</v>
      </c>
      <c r="E13" s="87">
        <f t="shared" si="1"/>
        <v>9.3333333333333268E-2</v>
      </c>
      <c r="F13" s="88">
        <f t="shared" si="1"/>
        <v>-8.5975609756097562</v>
      </c>
      <c r="G13" s="87">
        <f t="shared" si="1"/>
        <v>0.11717495987158899</v>
      </c>
      <c r="H13" s="87">
        <f t="shared" si="1"/>
        <v>0.50862068965517238</v>
      </c>
      <c r="I13" s="87">
        <f t="shared" si="1"/>
        <v>0.63809523809523805</v>
      </c>
      <c r="J13" s="89">
        <f t="shared" si="1"/>
        <v>0.27906976744186052</v>
      </c>
      <c r="K13" s="89">
        <f>AVERAGE(G13:J13)</f>
        <v>0.38574016376596498</v>
      </c>
      <c r="L13" s="73"/>
      <c r="M13" s="73"/>
      <c r="N13" s="121" t="s">
        <v>232</v>
      </c>
      <c r="O13" s="122"/>
      <c r="P13" s="45"/>
      <c r="Q13" s="45"/>
      <c r="R13" s="45"/>
    </row>
    <row r="14" spans="1:18" ht="22" customHeight="1" x14ac:dyDescent="0.2">
      <c r="A14" s="93" t="s">
        <v>233</v>
      </c>
      <c r="B14" s="94">
        <f>B12/B10</f>
        <v>-0.3731513083048919</v>
      </c>
      <c r="C14" s="94">
        <f t="shared" ref="C14:J14" si="2">C12/C10</f>
        <v>-0.20268872802481902</v>
      </c>
      <c r="D14" s="94">
        <f t="shared" si="2"/>
        <v>-5.4112554112554112E-2</v>
      </c>
      <c r="E14" s="94">
        <f t="shared" si="2"/>
        <v>-4.3873729266987696E-2</v>
      </c>
      <c r="F14" s="95">
        <f t="shared" si="2"/>
        <v>0.29980750721847932</v>
      </c>
      <c r="G14" s="94">
        <f t="shared" si="2"/>
        <v>0.2665645346610494</v>
      </c>
      <c r="H14" s="94">
        <f t="shared" si="2"/>
        <v>0.28751369112814895</v>
      </c>
      <c r="I14" s="94">
        <f t="shared" si="2"/>
        <v>0.3138113482941069</v>
      </c>
      <c r="J14" s="96">
        <f t="shared" si="2"/>
        <v>0.31130607046837411</v>
      </c>
      <c r="K14" s="96"/>
      <c r="L14" s="73"/>
      <c r="M14" s="73"/>
      <c r="N14" s="57" t="s">
        <v>234</v>
      </c>
      <c r="O14" s="90">
        <f>'[1]US Treasury Bonds'!$C$8</f>
        <v>4.1210000000000004E-2</v>
      </c>
      <c r="P14" s="45"/>
      <c r="Q14" s="45"/>
      <c r="R14" s="45"/>
    </row>
    <row r="15" spans="1:18" ht="22" customHeight="1" x14ac:dyDescent="0.2">
      <c r="A15" s="82" t="s">
        <v>176</v>
      </c>
      <c r="B15" s="83">
        <v>256000000</v>
      </c>
      <c r="C15" s="83">
        <v>180000000</v>
      </c>
      <c r="D15" s="83">
        <v>456000000</v>
      </c>
      <c r="E15" s="83">
        <v>435000000</v>
      </c>
      <c r="F15" s="91">
        <v>477000000</v>
      </c>
      <c r="G15" s="83">
        <v>570000000</v>
      </c>
      <c r="H15" s="83">
        <v>846000000</v>
      </c>
      <c r="I15" s="83">
        <v>1521000000</v>
      </c>
      <c r="J15" s="84">
        <v>1990000000</v>
      </c>
      <c r="K15" s="92" t="s">
        <v>235</v>
      </c>
      <c r="L15" s="73"/>
      <c r="M15" s="73"/>
      <c r="N15" s="57" t="s">
        <v>236</v>
      </c>
      <c r="O15" s="97">
        <f>1.33</f>
        <v>1.33</v>
      </c>
      <c r="P15" s="45"/>
      <c r="Q15" s="45"/>
      <c r="R15" s="45"/>
    </row>
    <row r="16" spans="1:18" ht="22" customHeight="1" x14ac:dyDescent="0.2">
      <c r="A16" s="98"/>
      <c r="B16" s="87"/>
      <c r="C16" s="87">
        <f t="shared" ref="C16:J16" si="3">(C15/B15)-1</f>
        <v>-0.296875</v>
      </c>
      <c r="D16" s="87">
        <f t="shared" si="3"/>
        <v>1.5333333333333332</v>
      </c>
      <c r="E16" s="87">
        <f t="shared" si="3"/>
        <v>-4.6052631578947345E-2</v>
      </c>
      <c r="F16" s="88">
        <f t="shared" si="3"/>
        <v>9.6551724137931005E-2</v>
      </c>
      <c r="G16" s="87">
        <f t="shared" si="3"/>
        <v>0.19496855345911945</v>
      </c>
      <c r="H16" s="87">
        <f t="shared" si="3"/>
        <v>0.48421052631578942</v>
      </c>
      <c r="I16" s="87">
        <f t="shared" si="3"/>
        <v>0.7978723404255319</v>
      </c>
      <c r="J16" s="89">
        <f t="shared" si="3"/>
        <v>0.30834976988823137</v>
      </c>
      <c r="K16" s="89">
        <f>AVERAGE(G16:J16)</f>
        <v>0.44635029752216804</v>
      </c>
      <c r="L16" s="73"/>
      <c r="M16" s="73"/>
      <c r="N16" s="57" t="s">
        <v>237</v>
      </c>
      <c r="O16" s="90">
        <v>8.4000000000000005E-2</v>
      </c>
      <c r="P16" s="45"/>
      <c r="Q16" s="45"/>
      <c r="R16" s="45"/>
    </row>
    <row r="17" spans="1:18" ht="22" customHeight="1" x14ac:dyDescent="0.2">
      <c r="A17" s="93" t="s">
        <v>191</v>
      </c>
      <c r="B17" s="94">
        <f>B15/B10</f>
        <v>0.29124004550625709</v>
      </c>
      <c r="C17" s="94">
        <f t="shared" ref="C17:J17" si="4">C15/C10</f>
        <v>0.18614270941054809</v>
      </c>
      <c r="D17" s="94">
        <f t="shared" si="4"/>
        <v>0.32900432900432902</v>
      </c>
      <c r="E17" s="96">
        <f t="shared" si="4"/>
        <v>0.23274478330658105</v>
      </c>
      <c r="F17" s="94">
        <f t="shared" si="4"/>
        <v>0.22954764196342636</v>
      </c>
      <c r="G17" s="94">
        <f t="shared" si="4"/>
        <v>0.2183071620068939</v>
      </c>
      <c r="H17" s="94">
        <f t="shared" si="4"/>
        <v>0.23165388828039429</v>
      </c>
      <c r="I17" s="94">
        <f t="shared" si="4"/>
        <v>0.27750410509031198</v>
      </c>
      <c r="J17" s="96">
        <f t="shared" si="4"/>
        <v>0.28159049101457478</v>
      </c>
      <c r="K17" s="96"/>
      <c r="L17" s="73"/>
      <c r="M17" s="73"/>
      <c r="N17" s="99" t="s">
        <v>232</v>
      </c>
      <c r="O17" s="100">
        <f>(O14)+((O15)*(O16-O14))</f>
        <v>9.8120700000000005E-2</v>
      </c>
      <c r="P17" s="45"/>
      <c r="Q17" s="45"/>
      <c r="R17" s="45"/>
    </row>
    <row r="18" spans="1:18" ht="22" customHeight="1" x14ac:dyDescent="0.2">
      <c r="A18" s="101" t="s">
        <v>187</v>
      </c>
      <c r="B18" s="102">
        <v>-4.0714556242898627E-3</v>
      </c>
      <c r="C18" s="102">
        <v>-1.0083954046206288E-2</v>
      </c>
      <c r="D18" s="102">
        <v>-2.6905406255900307E-3</v>
      </c>
      <c r="E18" s="102">
        <v>-1.8757604434230094E-3</v>
      </c>
      <c r="F18" s="103"/>
      <c r="G18" s="102"/>
      <c r="H18" s="102"/>
      <c r="I18" s="102"/>
      <c r="J18" s="104"/>
      <c r="K18" s="105"/>
      <c r="L18" s="73"/>
      <c r="M18" s="73"/>
      <c r="N18" s="121" t="s">
        <v>238</v>
      </c>
      <c r="O18" s="122"/>
      <c r="P18" s="45"/>
      <c r="Q18" s="45"/>
      <c r="R18" s="45"/>
    </row>
    <row r="19" spans="1:18" ht="22" customHeight="1" x14ac:dyDescent="0.2">
      <c r="A19" s="73"/>
      <c r="B19" s="73"/>
      <c r="C19" s="73"/>
      <c r="D19" s="73"/>
      <c r="E19" s="73"/>
      <c r="F19" s="73" t="s">
        <v>239</v>
      </c>
      <c r="G19" s="73"/>
      <c r="H19" s="73"/>
      <c r="I19" s="73"/>
      <c r="J19" s="73"/>
      <c r="K19" s="73"/>
      <c r="L19" s="73"/>
      <c r="M19" s="73"/>
      <c r="N19" s="57" t="s">
        <v>215</v>
      </c>
      <c r="O19" s="106">
        <f>O6+O7</f>
        <v>3520000000</v>
      </c>
      <c r="P19" s="45"/>
      <c r="Q19" s="45"/>
      <c r="R19" s="45"/>
    </row>
    <row r="20" spans="1:18" ht="22" customHeight="1" x14ac:dyDescent="0.2">
      <c r="B20" s="107"/>
      <c r="C20" s="107"/>
      <c r="D20" s="107"/>
      <c r="E20" s="107"/>
      <c r="F20" s="73"/>
      <c r="G20" s="73"/>
      <c r="H20" s="73"/>
      <c r="I20" s="73"/>
      <c r="J20" s="73"/>
      <c r="K20" s="73"/>
      <c r="L20" s="73"/>
      <c r="M20" s="73"/>
      <c r="N20" s="57" t="s">
        <v>192</v>
      </c>
      <c r="O20" s="106">
        <f>A3</f>
        <v>33455000000</v>
      </c>
      <c r="P20" s="45"/>
      <c r="Q20" s="45"/>
      <c r="R20" s="45"/>
    </row>
    <row r="21" spans="1:18" ht="22" customHeight="1" x14ac:dyDescent="0.2">
      <c r="A21" s="124" t="str" cm="1">
        <f t="array" ref="A21">_FV(A1,"Industry")</f>
        <v>Integrated Hardware &amp; Software</v>
      </c>
      <c r="B21" s="124"/>
      <c r="C21" s="124"/>
      <c r="D21" s="125" cm="1">
        <f t="array" ref="D21">_FV(A1,"Year incorporated",TRUE)</f>
        <v>2022</v>
      </c>
      <c r="E21" s="125"/>
      <c r="F21" s="73"/>
      <c r="G21" s="73"/>
      <c r="H21" s="73"/>
      <c r="I21" s="73"/>
      <c r="J21" s="73"/>
      <c r="K21" s="73"/>
      <c r="M21" s="73"/>
      <c r="N21" s="57" t="s">
        <v>240</v>
      </c>
      <c r="O21" s="106">
        <f>O19+O20</f>
        <v>36975000000</v>
      </c>
      <c r="P21" s="45"/>
      <c r="Q21" s="45"/>
      <c r="R21" s="45"/>
    </row>
    <row r="22" spans="1:18" ht="22" customHeight="1" x14ac:dyDescent="0.2">
      <c r="A22" s="123" t="str" cm="1">
        <f t="array" ref="A22">_FV(A1,"Description")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B22" s="123"/>
      <c r="C22" s="123"/>
      <c r="D22" s="123"/>
      <c r="E22" s="123"/>
      <c r="F22" s="73"/>
      <c r="G22" s="73"/>
      <c r="H22" s="73"/>
      <c r="I22" s="73"/>
      <c r="J22" s="73"/>
      <c r="K22" s="73"/>
      <c r="L22" s="73"/>
      <c r="M22" s="73"/>
      <c r="N22" s="74" t="s">
        <v>241</v>
      </c>
      <c r="O22" s="108">
        <f>(O19/O21)</f>
        <v>9.5199459093982419E-2</v>
      </c>
      <c r="P22" s="45"/>
      <c r="Q22" s="45"/>
      <c r="R22" s="45"/>
    </row>
    <row r="23" spans="1:18" ht="22" customHeight="1" x14ac:dyDescent="0.2">
      <c r="A23" s="123"/>
      <c r="B23" s="123"/>
      <c r="C23" s="123"/>
      <c r="D23" s="123"/>
      <c r="E23" s="123"/>
      <c r="F23" s="73"/>
      <c r="G23" s="73"/>
      <c r="H23" s="73"/>
      <c r="I23" s="73"/>
      <c r="J23" s="73"/>
      <c r="K23" s="73"/>
      <c r="L23" s="73"/>
      <c r="M23" s="73"/>
      <c r="N23" s="99" t="s">
        <v>242</v>
      </c>
      <c r="O23" s="109">
        <f>O20/O21</f>
        <v>0.90480054090601758</v>
      </c>
      <c r="P23" s="45"/>
      <c r="Q23" s="45"/>
      <c r="R23" s="45"/>
    </row>
    <row r="24" spans="1:18" ht="22" customHeight="1" x14ac:dyDescent="0.2">
      <c r="A24" s="123"/>
      <c r="B24" s="123"/>
      <c r="C24" s="123"/>
      <c r="D24" s="123"/>
      <c r="E24" s="123"/>
      <c r="F24" s="73"/>
      <c r="G24" s="73"/>
      <c r="H24" s="73"/>
      <c r="I24" s="73"/>
      <c r="J24" s="73"/>
      <c r="K24" s="73"/>
      <c r="L24" s="73"/>
      <c r="M24" s="73"/>
      <c r="N24" s="113" t="s">
        <v>243</v>
      </c>
      <c r="O24" s="114"/>
      <c r="P24" s="45"/>
      <c r="Q24" s="45"/>
      <c r="R24" s="45"/>
    </row>
    <row r="25" spans="1:18" ht="22" customHeight="1" x14ac:dyDescent="0.2">
      <c r="A25" s="123"/>
      <c r="B25" s="123"/>
      <c r="C25" s="123"/>
      <c r="D25" s="123"/>
      <c r="E25" s="123"/>
      <c r="F25" s="73"/>
      <c r="G25" s="73"/>
      <c r="H25" s="73"/>
      <c r="I25" s="73"/>
      <c r="J25" s="73"/>
      <c r="K25" s="73"/>
      <c r="L25" s="73"/>
      <c r="M25" s="73"/>
      <c r="N25" s="115">
        <f>(O22*O12)+(O23*O17)</f>
        <v>8.8817588028413122E-2</v>
      </c>
      <c r="O25" s="116"/>
      <c r="P25" s="45"/>
      <c r="Q25" s="45"/>
      <c r="R25" s="45"/>
    </row>
    <row r="26" spans="1:18" ht="22" customHeight="1" x14ac:dyDescent="0.2">
      <c r="A26" s="123"/>
      <c r="B26" s="123"/>
      <c r="C26" s="123"/>
      <c r="D26" s="123"/>
      <c r="E26" s="123"/>
      <c r="F26" s="73"/>
      <c r="G26" s="73"/>
      <c r="H26" s="73"/>
      <c r="I26" s="73"/>
      <c r="J26" s="73"/>
      <c r="K26" s="73"/>
      <c r="L26" s="73"/>
      <c r="M26" s="73"/>
      <c r="N26" s="73"/>
      <c r="O26" s="45"/>
      <c r="P26" s="45"/>
      <c r="Q26" s="45"/>
      <c r="R26" s="45"/>
    </row>
    <row r="27" spans="1:18" ht="22" customHeight="1" x14ac:dyDescent="0.2">
      <c r="A27" s="123"/>
      <c r="B27" s="123"/>
      <c r="C27" s="123"/>
      <c r="D27" s="123"/>
      <c r="E27" s="123"/>
      <c r="F27" s="73"/>
      <c r="G27" s="73"/>
      <c r="H27" s="73"/>
      <c r="I27" s="73"/>
      <c r="J27" s="73"/>
      <c r="K27" s="73"/>
      <c r="L27" s="73"/>
      <c r="M27" s="73"/>
      <c r="N27" s="73"/>
      <c r="O27" s="45"/>
      <c r="P27" s="45"/>
      <c r="Q27" s="45"/>
      <c r="R27" s="45"/>
    </row>
    <row r="28" spans="1:18" ht="22" customHeight="1" x14ac:dyDescent="0.2">
      <c r="A28" s="123"/>
      <c r="B28" s="123"/>
      <c r="C28" s="123"/>
      <c r="D28" s="123"/>
      <c r="E28" s="123"/>
      <c r="F28" s="73"/>
      <c r="G28" s="73"/>
      <c r="H28" s="73"/>
      <c r="I28" s="73"/>
      <c r="J28" s="73"/>
      <c r="K28" s="73"/>
      <c r="L28" s="73"/>
      <c r="M28" s="73"/>
      <c r="N28" s="73"/>
      <c r="O28" s="45"/>
      <c r="P28" s="45"/>
      <c r="Q28" s="45"/>
      <c r="R28" s="45"/>
    </row>
    <row r="29" spans="1:18" ht="22" customHeight="1" x14ac:dyDescent="0.2">
      <c r="A29" s="112"/>
      <c r="B29" s="112"/>
      <c r="C29" s="112"/>
      <c r="D29" s="112"/>
      <c r="E29" s="112"/>
      <c r="F29" s="73"/>
      <c r="G29" s="73"/>
      <c r="H29" s="73"/>
      <c r="I29" s="73"/>
      <c r="J29" s="73"/>
      <c r="K29" s="73"/>
      <c r="L29" s="73"/>
      <c r="M29" s="73"/>
      <c r="N29" s="73"/>
      <c r="O29" s="45"/>
      <c r="P29" s="45"/>
      <c r="Q29" s="45"/>
      <c r="R29" s="45"/>
    </row>
    <row r="30" spans="1:18" ht="22" customHeight="1" x14ac:dyDescent="0.2">
      <c r="A30" s="112"/>
      <c r="B30" s="112"/>
      <c r="C30" s="112"/>
      <c r="D30" s="112"/>
      <c r="E30" s="112"/>
      <c r="F30" s="73"/>
      <c r="G30" s="73"/>
      <c r="H30" s="73"/>
      <c r="I30" s="73"/>
      <c r="J30" s="73"/>
      <c r="K30" s="73"/>
      <c r="L30" s="73"/>
      <c r="M30" s="73"/>
      <c r="N30" s="73"/>
      <c r="O30" s="45"/>
      <c r="P30" s="45"/>
      <c r="Q30" s="45"/>
      <c r="R30" s="45"/>
    </row>
    <row r="31" spans="1:18" x14ac:dyDescent="0.2">
      <c r="A31" s="45"/>
      <c r="B31" s="45"/>
      <c r="C31" s="45"/>
      <c r="D31" s="45"/>
      <c r="E31" s="45"/>
      <c r="F31" s="45"/>
      <c r="G31" s="45"/>
      <c r="H31" s="45"/>
      <c r="I31" s="45"/>
      <c r="J31" s="45"/>
      <c r="K31" s="45"/>
      <c r="L31" s="45"/>
      <c r="M31" s="45"/>
      <c r="N31" s="45"/>
      <c r="O31" s="45"/>
      <c r="P31" s="45"/>
      <c r="Q31" s="45"/>
      <c r="R31" s="45"/>
    </row>
    <row r="32" spans="1:18" x14ac:dyDescent="0.2">
      <c r="A32" s="45"/>
      <c r="B32" s="45"/>
      <c r="C32" s="45"/>
      <c r="D32" s="45"/>
      <c r="E32" s="45"/>
      <c r="F32" s="45"/>
      <c r="G32" s="45"/>
      <c r="H32" s="45"/>
      <c r="I32" s="45"/>
      <c r="J32" s="45"/>
      <c r="K32" s="45"/>
      <c r="L32" s="45"/>
      <c r="M32" s="45"/>
      <c r="N32" s="45"/>
      <c r="O32" s="45"/>
      <c r="P32" s="45"/>
      <c r="Q32" s="45"/>
      <c r="R32" s="45"/>
    </row>
    <row r="33" spans="1:18" x14ac:dyDescent="0.2">
      <c r="A33" s="73"/>
      <c r="B33" s="73"/>
      <c r="C33" s="73"/>
      <c r="D33" s="73"/>
      <c r="E33" s="73"/>
      <c r="F33" s="73"/>
      <c r="G33" s="73"/>
      <c r="H33" s="73"/>
      <c r="I33" s="73"/>
      <c r="J33" s="73"/>
      <c r="K33" s="73"/>
      <c r="L33" s="73"/>
      <c r="M33" s="73"/>
      <c r="N33" s="73"/>
      <c r="O33" s="73"/>
      <c r="P33" s="73"/>
      <c r="Q33" s="73"/>
      <c r="R33" s="73"/>
    </row>
    <row r="34" spans="1:18" x14ac:dyDescent="0.2">
      <c r="A34" s="73"/>
      <c r="B34" s="73"/>
      <c r="C34" s="73"/>
      <c r="D34" s="73"/>
      <c r="E34" s="73"/>
      <c r="F34" s="73"/>
      <c r="G34" s="73"/>
      <c r="H34" s="73"/>
      <c r="I34" s="73"/>
      <c r="J34" s="73"/>
      <c r="K34" s="73"/>
      <c r="L34" s="73"/>
      <c r="M34" s="73"/>
      <c r="N34" s="73"/>
      <c r="O34" s="73"/>
      <c r="P34" s="73"/>
      <c r="Q34" s="73"/>
      <c r="R34" s="73"/>
    </row>
    <row r="35" spans="1:18" x14ac:dyDescent="0.2">
      <c r="A35" s="73"/>
      <c r="B35" s="73"/>
      <c r="C35" s="73"/>
      <c r="D35" s="73"/>
      <c r="E35" s="73"/>
      <c r="F35" s="73"/>
      <c r="G35" s="73"/>
      <c r="H35" s="73"/>
      <c r="I35" s="73"/>
      <c r="J35" s="73"/>
      <c r="K35" s="73"/>
      <c r="L35" s="73"/>
      <c r="M35" s="73"/>
      <c r="N35" s="73"/>
      <c r="O35" s="73"/>
      <c r="P35" s="73"/>
      <c r="Q35" s="73"/>
      <c r="R35" s="73"/>
    </row>
    <row r="36" spans="1:18" x14ac:dyDescent="0.2">
      <c r="A36" s="73"/>
      <c r="B36" s="73"/>
      <c r="C36" s="73"/>
      <c r="D36" s="73"/>
      <c r="E36" s="73"/>
      <c r="F36" s="73"/>
      <c r="G36" s="73"/>
      <c r="H36" s="73"/>
      <c r="I36" s="73"/>
      <c r="J36" s="73"/>
      <c r="K36" s="73"/>
      <c r="L36" s="73"/>
      <c r="M36" s="73"/>
      <c r="N36" s="73"/>
      <c r="O36" s="73"/>
      <c r="P36" s="73"/>
      <c r="Q36" s="73"/>
      <c r="R36" s="73"/>
    </row>
    <row r="37" spans="1:18" x14ac:dyDescent="0.2">
      <c r="A37" s="73"/>
      <c r="B37" s="73"/>
      <c r="C37" s="73"/>
      <c r="D37" s="73"/>
      <c r="E37" s="73"/>
      <c r="F37" s="73"/>
      <c r="G37" s="73"/>
      <c r="H37" s="73"/>
      <c r="I37" s="73"/>
      <c r="J37" s="73"/>
      <c r="K37" s="73"/>
      <c r="L37" s="73"/>
      <c r="M37" s="73"/>
      <c r="N37" s="73"/>
      <c r="O37" s="73"/>
      <c r="P37" s="73"/>
      <c r="Q37" s="73"/>
      <c r="R37" s="73"/>
    </row>
    <row r="38" spans="1:18" x14ac:dyDescent="0.2">
      <c r="A38" s="73"/>
      <c r="B38" s="73"/>
      <c r="C38" s="73"/>
      <c r="D38" s="73"/>
      <c r="E38" s="73"/>
      <c r="F38" s="73"/>
      <c r="G38" s="73"/>
      <c r="H38" s="73"/>
      <c r="I38" s="73"/>
      <c r="J38" s="73"/>
      <c r="K38" s="73"/>
      <c r="L38" s="73"/>
      <c r="M38" s="73"/>
      <c r="N38" s="73"/>
      <c r="O38" s="73"/>
      <c r="P38" s="73"/>
      <c r="Q38" s="73"/>
      <c r="R38" s="73"/>
    </row>
    <row r="39" spans="1:18" x14ac:dyDescent="0.2">
      <c r="A39" s="73"/>
      <c r="B39" s="73"/>
      <c r="C39" s="73"/>
      <c r="D39" s="73"/>
      <c r="E39" s="73"/>
      <c r="F39" s="73"/>
      <c r="G39" s="73"/>
      <c r="H39" s="73"/>
      <c r="I39" s="73"/>
      <c r="J39" s="73"/>
      <c r="K39" s="73"/>
      <c r="L39" s="73"/>
      <c r="M39" s="73"/>
      <c r="N39" s="73"/>
      <c r="O39" s="73"/>
      <c r="P39" s="73"/>
      <c r="Q39" s="73"/>
      <c r="R39" s="73"/>
    </row>
    <row r="40" spans="1:18" x14ac:dyDescent="0.2">
      <c r="A40" s="73"/>
      <c r="B40" s="73"/>
      <c r="C40" s="73"/>
      <c r="D40" s="73"/>
      <c r="E40" s="73"/>
      <c r="F40" s="73"/>
      <c r="G40" s="73"/>
      <c r="H40" s="73"/>
      <c r="I40" s="73"/>
      <c r="J40" s="73"/>
      <c r="K40" s="73"/>
      <c r="L40" s="73"/>
      <c r="M40" s="73"/>
      <c r="N40" s="73"/>
      <c r="O40" s="73"/>
      <c r="P40" s="73"/>
      <c r="Q40" s="73"/>
      <c r="R40" s="73"/>
    </row>
    <row r="41" spans="1:18" x14ac:dyDescent="0.2">
      <c r="A41" s="73"/>
      <c r="B41" s="73"/>
      <c r="C41" s="73"/>
      <c r="D41" s="73"/>
      <c r="E41" s="73"/>
      <c r="F41" s="73"/>
      <c r="G41" s="73"/>
      <c r="H41" s="73"/>
      <c r="I41" s="73"/>
      <c r="J41" s="73"/>
      <c r="K41" s="73"/>
      <c r="L41" s="73"/>
      <c r="M41" s="73"/>
      <c r="N41" s="73"/>
      <c r="O41" s="73"/>
      <c r="P41" s="73"/>
      <c r="Q41" s="73"/>
      <c r="R41" s="73"/>
    </row>
    <row r="42" spans="1:18" x14ac:dyDescent="0.2">
      <c r="A42" s="73"/>
      <c r="B42" s="73"/>
      <c r="C42" s="73"/>
      <c r="D42" s="73"/>
      <c r="E42" s="73"/>
      <c r="F42" s="73"/>
      <c r="G42" s="73"/>
      <c r="H42" s="73"/>
      <c r="I42" s="73"/>
      <c r="J42" s="73"/>
      <c r="K42" s="73"/>
      <c r="L42" s="73"/>
      <c r="M42" s="73"/>
      <c r="N42" s="73"/>
      <c r="O42" s="73"/>
      <c r="P42" s="73"/>
      <c r="Q42" s="73"/>
      <c r="R42" s="73"/>
    </row>
    <row r="43" spans="1:18" x14ac:dyDescent="0.2">
      <c r="A43" s="73"/>
      <c r="B43" s="73"/>
      <c r="C43" s="73"/>
      <c r="D43" s="73"/>
      <c r="E43" s="73"/>
      <c r="F43" s="73"/>
      <c r="G43" s="73"/>
      <c r="H43" s="73"/>
      <c r="I43" s="73"/>
      <c r="J43" s="73"/>
      <c r="K43" s="73"/>
      <c r="L43" s="73"/>
      <c r="M43" s="73"/>
      <c r="N43" s="73"/>
      <c r="O43" s="73"/>
      <c r="P43" s="73"/>
      <c r="Q43" s="73"/>
      <c r="R43" s="73"/>
    </row>
    <row r="44" spans="1:18" x14ac:dyDescent="0.2">
      <c r="A44" s="73"/>
      <c r="B44" s="73"/>
      <c r="C44" s="73"/>
      <c r="D44" s="73"/>
      <c r="E44" s="73"/>
      <c r="F44" s="73"/>
      <c r="G44" s="73"/>
      <c r="H44" s="73"/>
      <c r="I44" s="73"/>
      <c r="J44" s="73"/>
      <c r="K44" s="73"/>
      <c r="L44" s="73"/>
      <c r="M44" s="73"/>
      <c r="N44" s="73"/>
      <c r="O44" s="73"/>
      <c r="P44" s="73"/>
      <c r="Q44" s="73"/>
      <c r="R44" s="73"/>
    </row>
    <row r="45" spans="1:18" x14ac:dyDescent="0.2">
      <c r="A45" s="73"/>
      <c r="B45" s="73"/>
      <c r="C45" s="73"/>
      <c r="D45" s="73"/>
      <c r="E45" s="73"/>
      <c r="F45" s="73"/>
      <c r="G45" s="73"/>
      <c r="H45" s="73"/>
      <c r="I45" s="73"/>
      <c r="J45" s="73"/>
      <c r="K45" s="73"/>
      <c r="L45" s="73"/>
      <c r="M45" s="73"/>
      <c r="N45" s="73"/>
      <c r="O45" s="73"/>
      <c r="P45" s="73"/>
      <c r="Q45" s="73"/>
      <c r="R45" s="73"/>
    </row>
    <row r="46" spans="1:18" x14ac:dyDescent="0.2">
      <c r="A46" s="73"/>
      <c r="B46" s="73"/>
      <c r="C46" s="73"/>
      <c r="D46" s="73"/>
      <c r="E46" s="73"/>
      <c r="F46" s="73"/>
      <c r="G46" s="73"/>
      <c r="H46" s="73"/>
      <c r="I46" s="73"/>
      <c r="J46" s="73"/>
      <c r="K46" s="73"/>
      <c r="L46" s="73"/>
      <c r="M46" s="73"/>
      <c r="N46" s="73"/>
      <c r="O46" s="73"/>
      <c r="P46" s="73"/>
      <c r="Q46" s="73"/>
      <c r="R46" s="73"/>
    </row>
    <row r="47" spans="1:18" x14ac:dyDescent="0.2">
      <c r="A47" s="73"/>
      <c r="B47" s="73"/>
      <c r="C47" s="73"/>
      <c r="D47" s="73"/>
      <c r="E47" s="73"/>
      <c r="F47" s="73"/>
      <c r="G47" s="73"/>
      <c r="H47" s="73"/>
      <c r="I47" s="73"/>
      <c r="J47" s="73"/>
      <c r="K47" s="73"/>
      <c r="L47" s="73"/>
      <c r="M47" s="73"/>
      <c r="N47" s="73"/>
      <c r="O47" s="73"/>
      <c r="P47" s="73"/>
      <c r="Q47" s="73"/>
      <c r="R47" s="73"/>
    </row>
    <row r="48" spans="1:18" x14ac:dyDescent="0.2">
      <c r="A48" s="73"/>
      <c r="B48" s="73"/>
      <c r="C48" s="73"/>
      <c r="D48" s="73"/>
      <c r="E48" s="73"/>
      <c r="F48" s="73"/>
      <c r="G48" s="73"/>
      <c r="H48" s="73"/>
      <c r="I48" s="73"/>
      <c r="J48" s="73"/>
      <c r="K48" s="73"/>
      <c r="L48" s="73"/>
      <c r="M48" s="73"/>
      <c r="N48" s="73"/>
      <c r="O48" s="73"/>
      <c r="P48" s="73"/>
      <c r="Q48" s="73"/>
      <c r="R48" s="73"/>
    </row>
    <row r="49" spans="1:18" x14ac:dyDescent="0.2">
      <c r="A49" s="73"/>
      <c r="B49" s="73"/>
      <c r="C49" s="73"/>
      <c r="D49" s="73"/>
      <c r="E49" s="73"/>
      <c r="F49" s="73"/>
      <c r="G49" s="73"/>
      <c r="H49" s="73"/>
      <c r="I49" s="73"/>
      <c r="J49" s="73"/>
      <c r="K49" s="73"/>
      <c r="L49" s="73"/>
      <c r="M49" s="73"/>
      <c r="N49" s="73"/>
      <c r="O49" s="73"/>
      <c r="P49" s="73"/>
      <c r="Q49" s="73"/>
      <c r="R49" s="73"/>
    </row>
    <row r="50" spans="1:18" x14ac:dyDescent="0.2">
      <c r="A50" s="73"/>
      <c r="B50" s="73"/>
      <c r="C50" s="73"/>
      <c r="D50" s="73"/>
      <c r="E50" s="73"/>
      <c r="F50" s="73"/>
      <c r="G50" s="73"/>
      <c r="H50" s="73"/>
      <c r="I50" s="73"/>
      <c r="J50" s="73"/>
      <c r="K50" s="73"/>
      <c r="L50" s="73"/>
      <c r="M50" s="73"/>
      <c r="N50" s="73"/>
      <c r="O50" s="73"/>
      <c r="P50" s="73"/>
      <c r="Q50" s="73"/>
      <c r="R50" s="73"/>
    </row>
    <row r="51" spans="1:18" x14ac:dyDescent="0.2">
      <c r="A51" s="73"/>
      <c r="B51" s="73"/>
      <c r="C51" s="73"/>
      <c r="D51" s="73"/>
      <c r="E51" s="73"/>
      <c r="F51" s="73"/>
      <c r="G51" s="73"/>
      <c r="H51" s="73"/>
      <c r="I51" s="73"/>
      <c r="J51" s="73"/>
      <c r="K51" s="73"/>
      <c r="L51" s="73"/>
      <c r="M51" s="73"/>
      <c r="N51" s="73"/>
      <c r="O51" s="73"/>
      <c r="P51" s="73"/>
      <c r="Q51" s="73"/>
      <c r="R51" s="73"/>
    </row>
    <row r="52" spans="1:18" x14ac:dyDescent="0.2">
      <c r="A52" s="73"/>
      <c r="B52" s="73"/>
      <c r="C52" s="73"/>
      <c r="D52" s="73"/>
      <c r="E52" s="73"/>
      <c r="F52" s="73"/>
      <c r="G52" s="73"/>
      <c r="H52" s="73"/>
      <c r="I52" s="73"/>
      <c r="J52" s="73"/>
      <c r="K52" s="73"/>
      <c r="L52" s="73"/>
      <c r="M52" s="73"/>
      <c r="N52" s="73"/>
      <c r="O52" s="73"/>
      <c r="P52" s="73"/>
      <c r="Q52" s="73"/>
      <c r="R52" s="73"/>
    </row>
    <row r="53" spans="1:18" x14ac:dyDescent="0.2">
      <c r="A53" s="73"/>
      <c r="B53" s="73"/>
      <c r="C53" s="73"/>
      <c r="D53" s="73"/>
      <c r="E53" s="73"/>
      <c r="F53" s="73"/>
      <c r="G53" s="73"/>
      <c r="H53" s="73"/>
      <c r="I53" s="73"/>
      <c r="J53" s="73"/>
      <c r="K53" s="73"/>
      <c r="L53" s="73"/>
      <c r="M53" s="73"/>
      <c r="N53" s="73"/>
      <c r="O53" s="73"/>
      <c r="P53" s="73"/>
      <c r="Q53" s="73"/>
      <c r="R53" s="73"/>
    </row>
    <row r="54" spans="1:18" x14ac:dyDescent="0.2">
      <c r="A54" s="73"/>
      <c r="B54" s="73"/>
      <c r="C54" s="73"/>
      <c r="D54" s="73"/>
      <c r="E54" s="73"/>
      <c r="F54" s="73"/>
      <c r="G54" s="73"/>
      <c r="H54" s="73"/>
      <c r="I54" s="73"/>
      <c r="J54" s="73"/>
      <c r="K54" s="73"/>
      <c r="L54" s="73"/>
      <c r="M54" s="73"/>
      <c r="N54" s="73"/>
      <c r="O54" s="73"/>
      <c r="P54" s="73"/>
      <c r="Q54" s="73"/>
      <c r="R54" s="73"/>
    </row>
    <row r="55" spans="1:18" x14ac:dyDescent="0.2">
      <c r="A55" s="73"/>
      <c r="B55" s="73"/>
      <c r="C55" s="73"/>
      <c r="D55" s="73"/>
      <c r="E55" s="73"/>
      <c r="F55" s="73"/>
      <c r="G55" s="73"/>
      <c r="H55" s="73"/>
      <c r="I55" s="73"/>
      <c r="J55" s="73"/>
      <c r="K55" s="73"/>
      <c r="L55" s="73"/>
      <c r="M55" s="73"/>
      <c r="N55" s="73"/>
      <c r="O55" s="73"/>
      <c r="P55" s="73"/>
      <c r="Q55" s="73"/>
      <c r="R55" s="73"/>
    </row>
    <row r="56" spans="1:18" x14ac:dyDescent="0.2">
      <c r="A56" s="73"/>
      <c r="B56" s="73"/>
      <c r="C56" s="73"/>
      <c r="D56" s="73"/>
      <c r="E56" s="73"/>
      <c r="F56" s="73"/>
      <c r="G56" s="73"/>
      <c r="H56" s="73"/>
      <c r="I56" s="73"/>
      <c r="J56" s="73"/>
      <c r="K56" s="73"/>
      <c r="L56" s="73"/>
      <c r="M56" s="73"/>
      <c r="N56" s="73"/>
      <c r="O56" s="73"/>
      <c r="P56" s="73"/>
      <c r="Q56" s="73"/>
      <c r="R56" s="73"/>
    </row>
    <row r="57" spans="1:18" x14ac:dyDescent="0.2">
      <c r="A57" s="73"/>
      <c r="B57" s="73"/>
      <c r="C57" s="73"/>
      <c r="D57" s="73"/>
      <c r="E57" s="73"/>
      <c r="F57" s="73"/>
      <c r="G57" s="73"/>
      <c r="H57" s="73"/>
      <c r="I57" s="73"/>
      <c r="J57" s="73"/>
      <c r="K57" s="73"/>
      <c r="L57" s="73"/>
      <c r="M57" s="73"/>
      <c r="N57" s="73"/>
      <c r="O57" s="73"/>
      <c r="P57" s="73"/>
      <c r="Q57" s="73"/>
      <c r="R57" s="73"/>
    </row>
    <row r="58" spans="1:18" x14ac:dyDescent="0.2">
      <c r="A58" s="73"/>
      <c r="B58" s="73"/>
      <c r="C58" s="73"/>
      <c r="D58" s="73"/>
      <c r="E58" s="73"/>
      <c r="F58" s="73"/>
      <c r="G58" s="73"/>
      <c r="H58" s="73"/>
      <c r="I58" s="73"/>
      <c r="J58" s="73"/>
      <c r="K58" s="73"/>
      <c r="L58" s="73"/>
      <c r="M58" s="73"/>
      <c r="N58" s="73"/>
      <c r="O58" s="73"/>
      <c r="P58" s="73"/>
      <c r="Q58" s="73"/>
      <c r="R58" s="73"/>
    </row>
    <row r="59" spans="1:18" x14ac:dyDescent="0.2">
      <c r="A59" s="73"/>
      <c r="B59" s="73"/>
      <c r="C59" s="73"/>
      <c r="D59" s="73"/>
      <c r="E59" s="73"/>
      <c r="F59" s="73"/>
      <c r="G59" s="73"/>
      <c r="H59" s="73"/>
      <c r="I59" s="73"/>
      <c r="J59" s="73"/>
      <c r="K59" s="73"/>
      <c r="L59" s="73"/>
      <c r="M59" s="73"/>
      <c r="N59" s="73"/>
      <c r="O59" s="73"/>
      <c r="P59" s="73"/>
      <c r="Q59" s="73"/>
      <c r="R59" s="73"/>
    </row>
    <row r="60" spans="1:18" x14ac:dyDescent="0.2">
      <c r="A60" s="73"/>
      <c r="B60" s="73"/>
      <c r="C60" s="73"/>
      <c r="D60" s="73"/>
      <c r="E60" s="73"/>
      <c r="F60" s="73"/>
      <c r="G60" s="73"/>
      <c r="H60" s="73"/>
      <c r="I60" s="73"/>
      <c r="J60" s="73"/>
      <c r="K60" s="73"/>
      <c r="L60" s="73"/>
      <c r="M60" s="73"/>
      <c r="N60" s="73"/>
      <c r="O60" s="73"/>
      <c r="P60" s="73"/>
      <c r="Q60" s="73"/>
      <c r="R60" s="73"/>
    </row>
    <row r="61" spans="1:18" x14ac:dyDescent="0.2">
      <c r="A61" s="73"/>
      <c r="B61" s="73"/>
      <c r="C61" s="73"/>
      <c r="D61" s="73"/>
      <c r="E61" s="73"/>
      <c r="F61" s="73"/>
      <c r="G61" s="73"/>
      <c r="H61" s="73"/>
      <c r="I61" s="73"/>
      <c r="J61" s="73"/>
      <c r="K61" s="73"/>
      <c r="L61" s="73"/>
      <c r="M61" s="73"/>
      <c r="N61" s="73"/>
      <c r="O61" s="73"/>
      <c r="P61" s="73"/>
      <c r="Q61" s="73"/>
      <c r="R61" s="73"/>
    </row>
    <row r="62" spans="1:18" x14ac:dyDescent="0.2">
      <c r="O62" s="45"/>
      <c r="P62" s="45"/>
      <c r="Q62" s="45"/>
      <c r="R62" s="45"/>
    </row>
    <row r="63" spans="1:18" x14ac:dyDescent="0.2">
      <c r="O63" s="45"/>
      <c r="P63" s="45"/>
    </row>
    <row r="64" spans="1:18"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N24:O24"/>
    <mergeCell ref="N25:O25"/>
    <mergeCell ref="A1:XFD2"/>
    <mergeCell ref="N3:O3"/>
    <mergeCell ref="N4:O4"/>
    <mergeCell ref="N13:O13"/>
    <mergeCell ref="N18:O18"/>
    <mergeCell ref="A22:E28"/>
    <mergeCell ref="A21:C21"/>
    <mergeCell ref="D21:E21"/>
  </mergeCells>
  <hyperlinks>
    <hyperlink ref="F9" r:id="rId1" display="https://finbox.com/NASDAQGS:MBLY/explorer/revenue_proj" xr:uid="{0280DE12-70CA-B244-BEEC-CA0C643E01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2023-12-09T08:09:22Z</dcterms:modified>
</cp:coreProperties>
</file>