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4F6CFBEC-EB09-8947-8F03-EBFA3616A005}"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7" i="2" l="1"/>
  <c r="C6" i="2" s="1"/>
  <c r="C5" i="2"/>
  <c r="J17" i="2"/>
  <c r="I17" i="2"/>
  <c r="H17" i="2"/>
  <c r="G17" i="2"/>
  <c r="E17" i="2"/>
  <c r="D17" i="2"/>
  <c r="C17" i="2"/>
  <c r="B17" i="2"/>
  <c r="J14" i="2"/>
  <c r="I14" i="2"/>
  <c r="H14" i="2"/>
  <c r="G14" i="2"/>
  <c r="F14" i="2"/>
  <c r="E14" i="2"/>
  <c r="D14" i="2"/>
  <c r="C14" i="2"/>
  <c r="B14" i="2"/>
  <c r="O14" i="2" l="1"/>
  <c r="G3" i="2"/>
  <c r="O10" i="2"/>
  <c r="O9" i="2"/>
  <c r="O7" i="2"/>
  <c r="G7" i="2"/>
  <c r="E7" i="2"/>
  <c r="O6" i="2"/>
  <c r="O19" i="2" s="1"/>
  <c r="G6" i="2"/>
  <c r="E6" i="2"/>
  <c r="O5" i="2"/>
  <c r="G5" i="2"/>
  <c r="C4" i="2"/>
  <c r="A4" i="2"/>
  <c r="C3" i="2"/>
  <c r="O20" i="2" a="1"/>
  <c r="O20" i="2" s="1"/>
  <c r="A22" i="2" a="1"/>
  <c r="A22" i="2" s="1"/>
  <c r="D21" i="2" a="1"/>
  <c r="D21" i="2" s="1"/>
  <c r="A21" i="2" a="1"/>
  <c r="A21" i="2" s="1"/>
  <c r="O15" i="2" a="1"/>
  <c r="O15" i="2" s="1"/>
  <c r="J16" i="2"/>
  <c r="I16" i="2"/>
  <c r="H16" i="2"/>
  <c r="G16" i="2"/>
  <c r="F16" i="2"/>
  <c r="E16" i="2"/>
  <c r="D16" i="2"/>
  <c r="E5" i="2" s="1"/>
  <c r="C16"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4" i="2" l="1"/>
  <c r="K16" i="2"/>
  <c r="K3" i="2"/>
  <c r="K13" i="2"/>
  <c r="K11" i="2"/>
  <c r="G4" i="2"/>
  <c r="O8" i="2"/>
  <c r="O12" i="2" s="1"/>
  <c r="O21" i="2"/>
  <c r="O22" i="2" s="1"/>
  <c r="A6" i="2"/>
  <c r="A7" i="2"/>
  <c r="O23" i="2" l="1"/>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<sst xmlns="http://schemas.openxmlformats.org/spreadsheetml/2006/main" count="1434" uniqueCount="252">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</sst>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sz val="10"/>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0">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1"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9" fontId="4" fillId="11" borderId="1" xfId="1" applyFont="1" applyFill="1" applyBorder="1" applyAlignment="1">
      <alignment horizontal="left" indent="1"/>
    </xf>
    <xf numFmtId="0" fontId="1" fillId="11" borderId="1" xfId="0" applyFont="1" applyFill="1" applyBorder="1" applyAlignment="1">
      <alignment vertical="center"/>
    </xf>
    <xf numFmtId="9" fontId="4" fillId="12" borderId="1" xfId="1" applyFont="1" applyFill="1" applyBorder="1" applyAlignment="1">
      <alignment horizontal="right" vertical="center" indent="1"/>
    </xf>
    <xf numFmtId="9" fontId="4" fillId="12" borderId="5" xfId="1" applyFont="1" applyFill="1" applyBorder="1" applyAlignment="1">
      <alignment horizontal="right" vertical="center" indent="1"/>
    </xf>
    <xf numFmtId="0" fontId="3" fillId="9" borderId="9" xfId="0" applyFont="1" applyFill="1" applyBorder="1" applyAlignment="1">
      <alignment horizontal="right" vertical="center"/>
    </xf>
    <xf numFmtId="0" fontId="19" fillId="9" borderId="10" xfId="0" applyFont="1" applyFill="1" applyBorder="1" applyAlignment="1">
      <alignment horizontal="right" vertical="center" indent="1"/>
    </xf>
    <xf numFmtId="9" fontId="19" fillId="10" borderId="7" xfId="1" applyFont="1" applyFill="1" applyBorder="1" applyAlignment="1">
      <alignment horizontal="left" vertical="center" indent="2"/>
    </xf>
    <xf numFmtId="164" fontId="4" fillId="10" borderId="8" xfId="0" applyNumberFormat="1" applyFont="1" applyFill="1" applyBorder="1" applyAlignment="1">
      <alignment horizontal="right" vertical="center" indent="1"/>
    </xf>
    <xf numFmtId="164" fontId="4" fillId="10" borderId="7" xfId="0" applyNumberFormat="1" applyFont="1" applyFill="1" applyBorder="1" applyAlignment="1">
      <alignment horizontal="right" vertical="center" indent="1"/>
    </xf>
    <xf numFmtId="164" fontId="12" fillId="10" borderId="6" xfId="0" applyNumberFormat="1" applyFont="1" applyFill="1" applyBorder="1" applyAlignment="1">
      <alignment horizontal="right" vertical="center"/>
    </xf>
    <xf numFmtId="9" fontId="22" fillId="12" borderId="5" xfId="1" applyFont="1" applyFill="1" applyBorder="1" applyAlignment="1">
      <alignment horizontal="left" vertical="center" indent="2"/>
    </xf>
    <xf numFmtId="0" fontId="23" fillId="12" borderId="5" xfId="0" applyFont="1" applyFill="1" applyBorder="1" applyAlignment="1">
      <alignment horizontal="left" vertical="center" indent="1"/>
    </xf>
    <xf numFmtId="0" fontId="12" fillId="12" borderId="7" xfId="0" applyFont="1" applyFill="1" applyBorder="1" applyAlignment="1">
      <alignment horizontal="left" vertical="center" indent="2"/>
    </xf>
    <xf numFmtId="10" fontId="12" fillId="12" borderId="8" xfId="1" applyNumberFormat="1" applyFont="1" applyFill="1" applyBorder="1" applyAlignment="1">
      <alignment horizontal="right" vertical="center" indent="1"/>
    </xf>
    <xf numFmtId="10" fontId="12" fillId="12" borderId="7"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0" fontId="19" fillId="9" borderId="11"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3" xfId="0"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9" fontId="4" fillId="12" borderId="13" xfId="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9" fontId="19"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23" xfId="1" applyNumberFormat="1" applyFont="1" applyFill="1" applyBorder="1" applyAlignment="1">
      <alignment horizontal="left" vertical="center" indent="1"/>
    </xf>
    <xf numFmtId="9" fontId="26"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5"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2"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2"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6"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5" fillId="10" borderId="27" xfId="1" applyFont="1" applyFill="1" applyBorder="1" applyAlignment="1">
      <alignment horizontal="left" vertical="center" indent="1"/>
    </xf>
    <xf numFmtId="0" fontId="13" fillId="12" borderId="5" xfId="0" applyFont="1" applyFill="1" applyBorder="1" applyAlignment="1">
      <alignment horizontal="left" vertical="center" wrapText="1"/>
    </xf>
    <xf numFmtId="164" fontId="14" fillId="12" borderId="13" xfId="0" applyNumberFormat="1" applyFont="1" applyFill="1" applyBorder="1" applyAlignment="1">
      <alignment vertical="center"/>
    </xf>
    <xf numFmtId="0" fontId="17" fillId="12" borderId="5" xfId="0" applyFont="1" applyFill="1" applyBorder="1" applyAlignment="1">
      <alignment horizontal="left" vertical="center" wrapText="1"/>
    </xf>
    <xf numFmtId="10" fontId="18" fillId="12" borderId="13" xfId="0" applyNumberFormat="1" applyFont="1" applyFill="1" applyBorder="1" applyAlignment="1">
      <alignment vertical="center"/>
    </xf>
    <xf numFmtId="10" fontId="14" fillId="12" borderId="13" xfId="0" applyNumberFormat="1" applyFont="1" applyFill="1" applyBorder="1" applyAlignment="1">
      <alignment vertical="center"/>
    </xf>
    <xf numFmtId="2" fontId="14" fillId="12" borderId="13" xfId="0" applyNumberFormat="1" applyFont="1" applyFill="1" applyBorder="1" applyAlignment="1">
      <alignment vertical="center"/>
    </xf>
    <xf numFmtId="0" fontId="17" fillId="12" borderId="14" xfId="0" applyFont="1" applyFill="1" applyBorder="1" applyAlignment="1">
      <alignment horizontal="left" vertical="center" wrapText="1"/>
    </xf>
    <xf numFmtId="10" fontId="18" fillId="12" borderId="16" xfId="0" applyNumberFormat="1" applyFont="1" applyFill="1" applyBorder="1" applyAlignment="1">
      <alignment vertical="center"/>
    </xf>
    <xf numFmtId="164" fontId="14" fillId="12" borderId="13" xfId="0" applyNumberFormat="1" applyFont="1" applyFill="1" applyBorder="1" applyAlignment="1">
      <alignment horizontal="right" vertical="center"/>
    </xf>
    <xf numFmtId="10" fontId="18" fillId="12" borderId="13" xfId="0" applyNumberFormat="1" applyFont="1" applyFill="1" applyBorder="1" applyAlignment="1">
      <alignment horizontal="right" vertical="center"/>
    </xf>
    <xf numFmtId="10" fontId="18" fillId="12"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19" fillId="9" borderId="14" xfId="1" applyNumberFormat="1" applyFont="1" applyFill="1" applyBorder="1" applyAlignment="1">
      <alignment horizontal="center" vertical="center"/>
    </xf>
    <xf numFmtId="10" fontId="19" fillId="9" borderId="16"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9" fillId="12" borderId="7" xfId="1" applyFont="1" applyFill="1" applyBorder="1" applyAlignment="1">
      <alignment horizontal="center" vertical="center"/>
    </xf>
    <xf numFmtId="9" fontId="19" fillId="12" borderId="12"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12" xfId="1" applyFont="1" applyFill="1" applyBorder="1" applyAlignment="1">
      <alignment horizontal="center" vertical="center"/>
    </xf>
    <xf numFmtId="0" fontId="12" fillId="11" borderId="1" xfId="0" applyFont="1" applyFill="1" applyBorder="1" applyAlignment="1">
      <alignment horizontal="left" vertical="center" wrapText="1" indent="3"/>
    </xf>
    <xf numFmtId="0" fontId="12" fillId="11" borderId="1" xfId="0" applyFont="1" applyFill="1" applyBorder="1" applyAlignment="1">
      <alignment horizontal="left" vertical="center" indent="3"/>
    </xf>
    <xf numFmtId="0" fontId="25" fillId="11" borderId="1" xfId="0" applyFont="1" applyFill="1" applyBorder="1" applyAlignment="1">
      <alignment horizontal="left" vertical="center" wrapText="1"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https://www.bing.com/financeapi/forcetrigger?t=a234r7&amp;q=XNAS%3aSMCI&amp;form=skydnc</v>
    <v>Learn more on Bing</v>
  </rv>
  <rv s="1">
    <v>0</v>
    <v>SUPER MICRO COMPUTER, INC. (XNAS:SMCI)</v>
    <v>2</v>
    <v>3</v>
    <v>Finance</v>
    <v>4</v>
    <v>en-US</v>
    <v>a234r7</v>
    <v>268435456</v>
    <v>1</v>
    <v>Powered by Refinitiv</v>
    <v>356.99990000000003</v>
    <v>69.02</v>
    <v>1.1417999999999999</v>
    <v>16.5</v>
    <v>6.4415E-2</v>
    <v>1</v>
    <v>3.6680000000000003E-3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 SAN JOSE, CA, 95131-1615 US</v>
    <v>274.2</v>
    <v>Computers, Phones &amp; Household Electronics</v>
    <v>Stock</v>
    <v>45269.041628089843</v>
    <v>0</v>
    <v>254.61009999999999</v>
    <v>15142468417</v>
    <v>SUPER MICRO COMPUTER, INC.</v>
    <v>SUPER MICRO COMPUTER, INC.</v>
    <v>255</v>
    <v>23.638200000000001</v>
    <v>256.14999999999998</v>
    <v>272.64999999999998</v>
    <v>273.64999999999998</v>
    <v>55538120</v>
    <v>SMCI</v>
    <v>SUPER MICRO COMPUTER, INC. (XNAS:SMCI)</v>
    <v>3157504</v>
    <v>3234827</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MCI%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SMC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61" workbookViewId="0">
      <pane xSplit="1" topLeftCell="H1" activePane="topRight" state="frozen"/>
      <selection pane="topRight" activeCell="K188" sqref="K188:N188"/>
    </sheetView>
  </sheetViews>
  <sheetFormatPr baseColWidth="10" defaultRowHeight="15" x14ac:dyDescent="0.2"/>
  <cols>
    <col min="1" max="1" width="40.83203125" customWidth="1"/>
    <col min="2" max="20" width="14.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28" t="s">
        <v>18</v>
      </c>
      <c r="B2" s="26">
        <v>942582000</v>
      </c>
      <c r="C2" s="26">
        <v>1013874000</v>
      </c>
      <c r="D2" s="26">
        <v>1162561000</v>
      </c>
      <c r="E2" s="26">
        <v>1467202000</v>
      </c>
      <c r="F2" s="26">
        <v>1991155000</v>
      </c>
      <c r="G2" s="26">
        <v>2215573000</v>
      </c>
      <c r="H2" s="26">
        <v>2529915000</v>
      </c>
      <c r="I2" s="26">
        <v>3360492000</v>
      </c>
      <c r="J2" s="26">
        <v>3500360000</v>
      </c>
      <c r="K2" s="26">
        <v>3339281000</v>
      </c>
      <c r="L2" s="26">
        <v>3557422000</v>
      </c>
      <c r="M2" s="26">
        <v>5196099000</v>
      </c>
      <c r="N2" s="26">
        <v>7123482000</v>
      </c>
      <c r="O2" s="27">
        <v>7123482000</v>
      </c>
      <c r="P2" s="26">
        <v>1852130000</v>
      </c>
      <c r="Q2" s="26">
        <v>1803195000</v>
      </c>
      <c r="R2" s="26">
        <v>1283296000</v>
      </c>
      <c r="S2" s="26">
        <v>2184861000</v>
      </c>
    </row>
    <row r="3" spans="1:19" ht="16" x14ac:dyDescent="0.2">
      <c r="A3" s="9" t="s">
        <v>191</v>
      </c>
      <c r="B3" s="10"/>
      <c r="C3" s="11">
        <f t="shared" ref="C3:O3" si="0">(C2/B2)-1</f>
        <v>7.5634798882219245E-2</v>
      </c>
      <c r="D3" s="11">
        <f t="shared" si="0"/>
        <v>0.14665234536046889</v>
      </c>
      <c r="E3" s="11">
        <f t="shared" si="0"/>
        <v>0.26204302397895685</v>
      </c>
      <c r="F3" s="11">
        <f t="shared" si="0"/>
        <v>0.35711033654534274</v>
      </c>
      <c r="G3" s="11">
        <f t="shared" si="0"/>
        <v>0.11270744869183957</v>
      </c>
      <c r="H3" s="11">
        <f t="shared" si="0"/>
        <v>0.14187842151894792</v>
      </c>
      <c r="I3" s="11">
        <f t="shared" si="0"/>
        <v>0.32830233426814726</v>
      </c>
      <c r="J3" s="11">
        <f t="shared" si="0"/>
        <v>4.1621286406871461E-2</v>
      </c>
      <c r="K3" s="11">
        <f t="shared" si="0"/>
        <v>-4.6017838165217317E-2</v>
      </c>
      <c r="L3" s="11">
        <f t="shared" si="0"/>
        <v>6.5325739283396578E-2</v>
      </c>
      <c r="M3" s="11">
        <f t="shared" si="0"/>
        <v>0.46063610108668573</v>
      </c>
      <c r="N3" s="11">
        <f t="shared" si="0"/>
        <v>0.37092884488921407</v>
      </c>
      <c r="O3" s="11">
        <f t="shared" si="0"/>
        <v>0</v>
      </c>
      <c r="P3" s="11"/>
      <c r="Q3" s="11">
        <f>(Q2/P2)-1</f>
        <v>-2.6420931576077278E-2</v>
      </c>
      <c r="R3" s="11">
        <f>(R2/Q2)-1</f>
        <v>-0.28832100798859805</v>
      </c>
      <c r="S3" s="11">
        <f>(S2/R2)-1</f>
        <v>0.70253861930528894</v>
      </c>
    </row>
    <row r="4" spans="1:19" ht="16" x14ac:dyDescent="0.2">
      <c r="A4" s="2" t="s">
        <v>19</v>
      </c>
      <c r="B4" s="3">
        <v>942582000</v>
      </c>
      <c r="C4" s="3">
        <v>1013874000</v>
      </c>
      <c r="D4" s="3">
        <v>1162561000</v>
      </c>
      <c r="E4" s="3">
        <v>1467202000</v>
      </c>
      <c r="F4" s="3">
        <v>1991155000</v>
      </c>
      <c r="G4" s="3">
        <v>2215573000</v>
      </c>
      <c r="H4" s="3">
        <v>2529915000</v>
      </c>
      <c r="I4" s="3">
        <v>3360492000</v>
      </c>
      <c r="J4" s="3">
        <v>3500360000</v>
      </c>
      <c r="K4" s="3">
        <v>3339281000</v>
      </c>
      <c r="L4" s="3">
        <v>3557422000</v>
      </c>
      <c r="M4" s="3">
        <v>5196099000</v>
      </c>
      <c r="N4" s="3">
        <v>7123482000</v>
      </c>
      <c r="O4" s="4">
        <v>7123482000</v>
      </c>
      <c r="P4" s="3">
        <v>1852130000</v>
      </c>
      <c r="Q4" s="3">
        <v>1803195000</v>
      </c>
      <c r="R4" s="3">
        <v>1283296000</v>
      </c>
      <c r="S4" s="3">
        <v>2184861000</v>
      </c>
    </row>
    <row r="5" spans="1:19" ht="16" x14ac:dyDescent="0.2">
      <c r="A5" s="2" t="s">
        <v>20</v>
      </c>
      <c r="B5" s="3">
        <v>791478000</v>
      </c>
      <c r="C5" s="3">
        <v>848457000</v>
      </c>
      <c r="D5" s="3">
        <v>1002508000</v>
      </c>
      <c r="E5" s="3">
        <v>1241657000</v>
      </c>
      <c r="F5" s="3">
        <v>1670924000</v>
      </c>
      <c r="G5" s="3">
        <v>1884048000</v>
      </c>
      <c r="H5" s="3">
        <v>2171349000</v>
      </c>
      <c r="I5" s="3">
        <v>2930498000</v>
      </c>
      <c r="J5" s="3">
        <v>3004838000</v>
      </c>
      <c r="K5" s="3">
        <v>2813071000</v>
      </c>
      <c r="L5" s="3">
        <v>3022884000</v>
      </c>
      <c r="M5" s="3">
        <v>4396098000</v>
      </c>
      <c r="N5" s="3">
        <v>5840470000</v>
      </c>
      <c r="O5" s="4">
        <v>5840470000</v>
      </c>
      <c r="P5" s="3">
        <v>1504595000</v>
      </c>
      <c r="Q5" s="3">
        <v>1465773000</v>
      </c>
      <c r="R5" s="3">
        <v>1056937000</v>
      </c>
      <c r="S5" s="3">
        <v>1813165000</v>
      </c>
    </row>
    <row r="6" spans="1:19" ht="16" x14ac:dyDescent="0.2">
      <c r="A6" s="2" t="s">
        <v>21</v>
      </c>
      <c r="B6" s="3">
        <v>791478000</v>
      </c>
      <c r="C6" s="3">
        <v>848457000</v>
      </c>
      <c r="D6" s="3">
        <v>1002508000</v>
      </c>
      <c r="E6" s="3">
        <v>1241657000</v>
      </c>
      <c r="F6" s="3">
        <v>1670924000</v>
      </c>
      <c r="G6" s="3">
        <v>1884048000</v>
      </c>
      <c r="H6" s="3">
        <v>2171349000</v>
      </c>
      <c r="I6" s="3">
        <v>2930498000</v>
      </c>
      <c r="J6" s="3">
        <v>3004838000</v>
      </c>
      <c r="K6" s="3">
        <v>2813071000</v>
      </c>
      <c r="L6" s="3">
        <v>3022884000</v>
      </c>
      <c r="M6" s="3">
        <v>4396098000</v>
      </c>
      <c r="N6" s="3">
        <v>5840470000</v>
      </c>
      <c r="O6" s="4">
        <v>5840470000</v>
      </c>
      <c r="P6" s="3">
        <v>1504595000</v>
      </c>
      <c r="Q6" s="3">
        <v>1465773000</v>
      </c>
      <c r="R6" s="3">
        <v>1056937000</v>
      </c>
      <c r="S6" s="3">
        <v>1813165000</v>
      </c>
    </row>
    <row r="7" spans="1:19" ht="16" x14ac:dyDescent="0.2">
      <c r="A7" s="28" t="s">
        <v>22</v>
      </c>
      <c r="B7" s="26">
        <v>151104000</v>
      </c>
      <c r="C7" s="26">
        <v>165417000</v>
      </c>
      <c r="D7" s="26">
        <v>160053000</v>
      </c>
      <c r="E7" s="26">
        <v>225545000</v>
      </c>
      <c r="F7" s="26">
        <v>320231000</v>
      </c>
      <c r="G7" s="26">
        <v>331525000</v>
      </c>
      <c r="H7" s="26">
        <v>358566000</v>
      </c>
      <c r="I7" s="26">
        <v>429994000</v>
      </c>
      <c r="J7" s="26">
        <v>495522000</v>
      </c>
      <c r="K7" s="26">
        <v>526210000</v>
      </c>
      <c r="L7" s="26">
        <v>534538000</v>
      </c>
      <c r="M7" s="26">
        <v>800001000</v>
      </c>
      <c r="N7" s="26">
        <v>1283012000</v>
      </c>
      <c r="O7" s="27">
        <v>1283012000</v>
      </c>
      <c r="P7" s="26">
        <v>347535000</v>
      </c>
      <c r="Q7" s="26">
        <v>337422000</v>
      </c>
      <c r="R7" s="26">
        <v>226359000</v>
      </c>
      <c r="S7" s="26">
        <v>371696000</v>
      </c>
    </row>
    <row r="8" spans="1:19" ht="16" x14ac:dyDescent="0.2">
      <c r="A8" s="31" t="s">
        <v>58</v>
      </c>
      <c r="B8" s="32">
        <v>16.03</v>
      </c>
      <c r="C8" s="32">
        <v>16.32</v>
      </c>
      <c r="D8" s="32">
        <v>13.77</v>
      </c>
      <c r="E8" s="32">
        <v>15.37</v>
      </c>
      <c r="F8" s="32">
        <v>16.079999999999998</v>
      </c>
      <c r="G8" s="32">
        <v>14.96</v>
      </c>
      <c r="H8" s="32">
        <v>14.17</v>
      </c>
      <c r="I8" s="32">
        <v>12.8</v>
      </c>
      <c r="J8" s="32">
        <v>14.16</v>
      </c>
      <c r="K8" s="32">
        <v>15.76</v>
      </c>
      <c r="L8" s="32">
        <v>15.03</v>
      </c>
      <c r="M8" s="32">
        <v>15.4</v>
      </c>
      <c r="N8" s="32">
        <v>18.010000000000002</v>
      </c>
      <c r="O8" s="33">
        <v>18.010000000000002</v>
      </c>
      <c r="P8" s="32">
        <v>18.760000000000002</v>
      </c>
      <c r="Q8" s="32">
        <v>18.71</v>
      </c>
      <c r="R8" s="32">
        <v>17.64</v>
      </c>
      <c r="S8" s="32">
        <v>17.010000000000002</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92411000</v>
      </c>
      <c r="C10" s="3">
        <v>119403000</v>
      </c>
      <c r="D10" s="3">
        <v>132895000</v>
      </c>
      <c r="E10" s="3">
        <v>145286000</v>
      </c>
      <c r="F10" s="3">
        <v>173485000</v>
      </c>
      <c r="G10" s="3">
        <v>224675000</v>
      </c>
      <c r="H10" s="3">
        <v>256689000</v>
      </c>
      <c r="I10" s="3">
        <v>335280000</v>
      </c>
      <c r="J10" s="3">
        <v>398289000</v>
      </c>
      <c r="K10" s="3">
        <v>440556000</v>
      </c>
      <c r="L10" s="3">
        <v>410591000</v>
      </c>
      <c r="M10" s="3">
        <v>464834000</v>
      </c>
      <c r="N10" s="3">
        <v>521870000</v>
      </c>
      <c r="O10" s="4">
        <v>521870000</v>
      </c>
      <c r="P10" s="3">
        <v>127412000</v>
      </c>
      <c r="Q10" s="3">
        <v>122240000</v>
      </c>
      <c r="R10" s="3">
        <v>127277000</v>
      </c>
      <c r="S10" s="3">
        <v>144941000</v>
      </c>
    </row>
    <row r="11" spans="1:19" ht="16" x14ac:dyDescent="0.2">
      <c r="A11" s="23" t="s">
        <v>26</v>
      </c>
      <c r="B11" s="26">
        <v>44303000</v>
      </c>
      <c r="C11" s="26">
        <v>60722000</v>
      </c>
      <c r="D11" s="26">
        <v>57687000</v>
      </c>
      <c r="E11" s="26">
        <v>61029000</v>
      </c>
      <c r="F11" s="26">
        <v>73228000</v>
      </c>
      <c r="G11" s="26">
        <v>100681000</v>
      </c>
      <c r="H11" s="26">
        <v>115331000</v>
      </c>
      <c r="I11" s="26">
        <v>170176000</v>
      </c>
      <c r="J11" s="26">
        <v>218382000</v>
      </c>
      <c r="K11" s="26">
        <v>219078000</v>
      </c>
      <c r="L11" s="26">
        <v>186222000</v>
      </c>
      <c r="M11" s="26">
        <v>192561000</v>
      </c>
      <c r="N11" s="26">
        <v>214610000</v>
      </c>
      <c r="O11" s="27">
        <v>214610000</v>
      </c>
      <c r="P11" s="26">
        <v>53169000</v>
      </c>
      <c r="Q11" s="26">
        <v>51540000</v>
      </c>
      <c r="R11" s="26">
        <v>49762000</v>
      </c>
      <c r="S11" s="26">
        <v>60139000</v>
      </c>
    </row>
    <row r="12" spans="1:19" ht="16" x14ac:dyDescent="0.2">
      <c r="A12" s="12" t="s">
        <v>192</v>
      </c>
      <c r="B12" s="11">
        <f t="shared" ref="B12:S12" si="1">B11/B2</f>
        <v>4.7001746267168271E-2</v>
      </c>
      <c r="C12" s="11">
        <f t="shared" si="1"/>
        <v>5.9891071277101492E-2</v>
      </c>
      <c r="D12" s="11">
        <f t="shared" si="1"/>
        <v>4.9620622057681273E-2</v>
      </c>
      <c r="E12" s="11">
        <f t="shared" si="1"/>
        <v>4.15954994608786E-2</v>
      </c>
      <c r="F12" s="11">
        <f t="shared" si="1"/>
        <v>3.6776644711235436E-2</v>
      </c>
      <c r="G12" s="11">
        <f t="shared" si="1"/>
        <v>4.5442420538614615E-2</v>
      </c>
      <c r="H12" s="11">
        <f t="shared" si="1"/>
        <v>4.5586907070000376E-2</v>
      </c>
      <c r="I12" s="11">
        <f t="shared" si="1"/>
        <v>5.0640203874908793E-2</v>
      </c>
      <c r="J12" s="11">
        <f t="shared" si="1"/>
        <v>6.2388440046166678E-2</v>
      </c>
      <c r="K12" s="11">
        <f t="shared" si="1"/>
        <v>6.5606338610018147E-2</v>
      </c>
      <c r="L12" s="11">
        <f t="shared" si="1"/>
        <v>5.2347458356079207E-2</v>
      </c>
      <c r="M12" s="11">
        <f t="shared" si="1"/>
        <v>3.7058762737199581E-2</v>
      </c>
      <c r="N12" s="11">
        <f t="shared" si="1"/>
        <v>3.0127120416672634E-2</v>
      </c>
      <c r="O12" s="11">
        <f t="shared" si="1"/>
        <v>3.0127120416672634E-2</v>
      </c>
      <c r="P12" s="11">
        <f t="shared" si="1"/>
        <v>2.8706948216377901E-2</v>
      </c>
      <c r="Q12" s="11">
        <f t="shared" si="1"/>
        <v>2.8582599219718334E-2</v>
      </c>
      <c r="R12" s="11">
        <f t="shared" si="1"/>
        <v>3.877671246540159E-2</v>
      </c>
      <c r="S12" s="11">
        <f t="shared" si="1"/>
        <v>2.7525320832766934E-2</v>
      </c>
    </row>
    <row r="13" spans="1:19" ht="16" x14ac:dyDescent="0.2">
      <c r="A13" s="23" t="s">
        <v>27</v>
      </c>
      <c r="B13" s="26">
        <v>48108000</v>
      </c>
      <c r="C13" s="26">
        <v>58681000</v>
      </c>
      <c r="D13" s="26">
        <v>75208000</v>
      </c>
      <c r="E13" s="26">
        <v>84257000</v>
      </c>
      <c r="F13" s="26">
        <v>100257000</v>
      </c>
      <c r="G13" s="26">
        <v>123994000</v>
      </c>
      <c r="H13" s="26">
        <v>141358000</v>
      </c>
      <c r="I13" s="26">
        <v>165104000</v>
      </c>
      <c r="J13" s="26">
        <v>179907000</v>
      </c>
      <c r="K13" s="26">
        <v>221478000</v>
      </c>
      <c r="L13" s="26">
        <v>224369000</v>
      </c>
      <c r="M13" s="26">
        <v>272273000</v>
      </c>
      <c r="N13" s="26">
        <v>307260000</v>
      </c>
      <c r="O13" s="27">
        <v>307260000</v>
      </c>
      <c r="P13" s="26">
        <v>74243000</v>
      </c>
      <c r="Q13" s="26">
        <v>70700000</v>
      </c>
      <c r="R13" s="26">
        <v>77515000</v>
      </c>
      <c r="S13" s="26">
        <v>84802000</v>
      </c>
    </row>
    <row r="14" spans="1:19" ht="16" x14ac:dyDescent="0.2">
      <c r="A14" s="12" t="s">
        <v>193</v>
      </c>
      <c r="B14" s="11">
        <f t="shared" ref="B14:S14" si="2">B13/B2</f>
        <v>5.1038530334761328E-2</v>
      </c>
      <c r="C14" s="11">
        <f t="shared" si="2"/>
        <v>5.7878000619406358E-2</v>
      </c>
      <c r="D14" s="11">
        <f t="shared" si="2"/>
        <v>6.4691659190356465E-2</v>
      </c>
      <c r="E14" s="11">
        <f t="shared" si="2"/>
        <v>5.7426993692756688E-2</v>
      </c>
      <c r="F14" s="11">
        <f t="shared" si="2"/>
        <v>5.0351178085081272E-2</v>
      </c>
      <c r="G14" s="11">
        <f t="shared" si="2"/>
        <v>5.5964754941498204E-2</v>
      </c>
      <c r="H14" s="11">
        <f t="shared" si="2"/>
        <v>5.5874604482759299E-2</v>
      </c>
      <c r="I14" s="11">
        <f t="shared" si="2"/>
        <v>4.9130901070438493E-2</v>
      </c>
      <c r="J14" s="11">
        <f t="shared" si="2"/>
        <v>5.1396713480899109E-2</v>
      </c>
      <c r="K14" s="11">
        <f t="shared" si="2"/>
        <v>6.6325056202218388E-2</v>
      </c>
      <c r="L14" s="11">
        <f t="shared" si="2"/>
        <v>6.3070673088545581E-2</v>
      </c>
      <c r="M14" s="11">
        <f t="shared" si="2"/>
        <v>5.2399502011027888E-2</v>
      </c>
      <c r="N14" s="11">
        <f t="shared" si="2"/>
        <v>4.3133400210739636E-2</v>
      </c>
      <c r="O14" s="11">
        <f t="shared" si="2"/>
        <v>4.3133400210739636E-2</v>
      </c>
      <c r="P14" s="11">
        <f t="shared" si="2"/>
        <v>4.0085199203079701E-2</v>
      </c>
      <c r="Q14" s="11">
        <f t="shared" si="2"/>
        <v>3.920818325250458E-2</v>
      </c>
      <c r="R14" s="11">
        <f t="shared" si="2"/>
        <v>6.040305588110615E-2</v>
      </c>
      <c r="S14" s="11">
        <f t="shared" si="2"/>
        <v>3.8813453121274079E-2</v>
      </c>
    </row>
    <row r="15" spans="1:19" ht="16" x14ac:dyDescent="0.2">
      <c r="A15" s="2" t="s">
        <v>28</v>
      </c>
      <c r="B15" s="3" t="s">
        <v>24</v>
      </c>
      <c r="C15" s="3" t="s">
        <v>24</v>
      </c>
      <c r="D15" s="3" t="s">
        <v>24</v>
      </c>
      <c r="E15" s="3" t="s">
        <v>24</v>
      </c>
      <c r="F15" s="3" t="s">
        <v>24</v>
      </c>
      <c r="G15" s="3" t="s">
        <v>24</v>
      </c>
      <c r="H15" s="3" t="s">
        <v>24</v>
      </c>
      <c r="I15" s="3" t="s">
        <v>24</v>
      </c>
      <c r="J15" s="3" t="s">
        <v>24</v>
      </c>
      <c r="K15" s="3" t="s">
        <v>24</v>
      </c>
      <c r="L15" s="3" t="s">
        <v>24</v>
      </c>
      <c r="M15" s="3" t="s">
        <v>24</v>
      </c>
      <c r="N15" s="3" t="s">
        <v>24</v>
      </c>
      <c r="O15" s="4" t="s">
        <v>24</v>
      </c>
      <c r="P15" s="3" t="s">
        <v>24</v>
      </c>
      <c r="Q15" s="3" t="s">
        <v>24</v>
      </c>
      <c r="R15" s="3" t="s">
        <v>24</v>
      </c>
      <c r="S15" s="3" t="s">
        <v>24</v>
      </c>
    </row>
    <row r="16" spans="1:19" ht="16" x14ac:dyDescent="0.2">
      <c r="A16" s="28" t="s">
        <v>29</v>
      </c>
      <c r="B16" s="26">
        <v>58693000</v>
      </c>
      <c r="C16" s="26">
        <v>46014000</v>
      </c>
      <c r="D16" s="26">
        <v>27158000</v>
      </c>
      <c r="E16" s="26">
        <v>80259000</v>
      </c>
      <c r="F16" s="26">
        <v>146746000</v>
      </c>
      <c r="G16" s="26">
        <v>106850000</v>
      </c>
      <c r="H16" s="26">
        <v>101877000</v>
      </c>
      <c r="I16" s="26">
        <v>94714000</v>
      </c>
      <c r="J16" s="26">
        <v>97233000</v>
      </c>
      <c r="K16" s="26">
        <v>85654000</v>
      </c>
      <c r="L16" s="26">
        <v>123947000</v>
      </c>
      <c r="M16" s="26">
        <v>335167000</v>
      </c>
      <c r="N16" s="26">
        <v>761142000</v>
      </c>
      <c r="O16" s="27">
        <v>761142000</v>
      </c>
      <c r="P16" s="26">
        <v>220123000</v>
      </c>
      <c r="Q16" s="26">
        <v>215182000</v>
      </c>
      <c r="R16" s="26">
        <v>99082000</v>
      </c>
      <c r="S16" s="26">
        <v>226755000</v>
      </c>
    </row>
    <row r="17" spans="1:19" ht="16" x14ac:dyDescent="0.2">
      <c r="A17" s="23" t="s">
        <v>59</v>
      </c>
      <c r="B17" s="29">
        <v>6.23</v>
      </c>
      <c r="C17" s="29">
        <v>4.54</v>
      </c>
      <c r="D17" s="29">
        <v>2.34</v>
      </c>
      <c r="E17" s="29">
        <v>5.47</v>
      </c>
      <c r="F17" s="29">
        <v>7.37</v>
      </c>
      <c r="G17" s="29">
        <v>4.82</v>
      </c>
      <c r="H17" s="29">
        <v>4.03</v>
      </c>
      <c r="I17" s="29">
        <v>2.82</v>
      </c>
      <c r="J17" s="29">
        <v>2.78</v>
      </c>
      <c r="K17" s="29">
        <v>2.57</v>
      </c>
      <c r="L17" s="29">
        <v>3.48</v>
      </c>
      <c r="M17" s="29">
        <v>6.45</v>
      </c>
      <c r="N17" s="29">
        <v>10.68</v>
      </c>
      <c r="O17" s="30">
        <v>10.68</v>
      </c>
      <c r="P17" s="29">
        <v>11.88</v>
      </c>
      <c r="Q17" s="29">
        <v>11.93</v>
      </c>
      <c r="R17" s="29">
        <v>7.72</v>
      </c>
      <c r="S17" s="29">
        <v>10.38</v>
      </c>
    </row>
    <row r="18" spans="1:19" ht="16" x14ac:dyDescent="0.2">
      <c r="A18" s="13" t="s">
        <v>194</v>
      </c>
      <c r="B18" s="10"/>
      <c r="C18" s="11">
        <f>(C16/B16)-1</f>
        <v>-0.21602235360264421</v>
      </c>
      <c r="D18" s="11">
        <f>(D16/C16)-1</f>
        <v>-0.40978832529230236</v>
      </c>
      <c r="E18" s="11">
        <f>(E16/D16)-1</f>
        <v>1.9552618013108476</v>
      </c>
      <c r="F18" s="11">
        <f t="shared" ref="F18:N18" si="3">(F16/E16)-1</f>
        <v>0.82840553707372377</v>
      </c>
      <c r="G18" s="11">
        <f t="shared" si="3"/>
        <v>-0.27187112425551629</v>
      </c>
      <c r="H18" s="11">
        <f t="shared" si="3"/>
        <v>-4.6541881141787589E-2</v>
      </c>
      <c r="I18" s="11">
        <f t="shared" si="3"/>
        <v>-7.0310276117278692E-2</v>
      </c>
      <c r="J18" s="11">
        <f t="shared" si="3"/>
        <v>2.6595857001076917E-2</v>
      </c>
      <c r="K18" s="11">
        <f t="shared" si="3"/>
        <v>-0.11908508428208531</v>
      </c>
      <c r="L18" s="11">
        <f t="shared" si="3"/>
        <v>0.44706610315922202</v>
      </c>
      <c r="M18" s="11">
        <f t="shared" si="3"/>
        <v>1.7041154687083995</v>
      </c>
      <c r="N18" s="11">
        <f t="shared" si="3"/>
        <v>1.2709335942977682</v>
      </c>
      <c r="O18" s="11">
        <f>(O16/N16)-1</f>
        <v>0</v>
      </c>
      <c r="P18" s="11"/>
      <c r="Q18" s="11">
        <f>(Q16/P16)-1</f>
        <v>-2.2446541251936458E-2</v>
      </c>
      <c r="R18" s="11">
        <f>(R16/Q16)-1</f>
        <v>-0.53954327034789151</v>
      </c>
      <c r="S18" s="11">
        <f>(S16/R16)-1</f>
        <v>1.288558971357058</v>
      </c>
    </row>
    <row r="19" spans="1:19" ht="16" x14ac:dyDescent="0.2">
      <c r="A19" s="2" t="s">
        <v>30</v>
      </c>
      <c r="B19" s="3">
        <v>620000</v>
      </c>
      <c r="C19" s="3">
        <v>663000</v>
      </c>
      <c r="D19" s="3">
        <v>562000</v>
      </c>
      <c r="E19" s="3">
        <v>665000</v>
      </c>
      <c r="F19" s="3">
        <v>850000</v>
      </c>
      <c r="G19" s="3">
        <v>1423000</v>
      </c>
      <c r="H19" s="3">
        <v>2168000</v>
      </c>
      <c r="I19" s="3">
        <v>6499000</v>
      </c>
      <c r="J19" s="3">
        <v>7710000</v>
      </c>
      <c r="K19" s="3">
        <v>826000</v>
      </c>
      <c r="L19" s="3">
        <v>5319000</v>
      </c>
      <c r="M19" s="3">
        <v>-1666000</v>
      </c>
      <c r="N19" s="3">
        <v>6845000</v>
      </c>
      <c r="O19" s="4">
        <v>6845000</v>
      </c>
      <c r="P19" s="3">
        <v>-4116000</v>
      </c>
      <c r="Q19" s="3">
        <v>8091000</v>
      </c>
      <c r="R19" s="3">
        <v>1366000</v>
      </c>
      <c r="S19" s="3">
        <v>1504000</v>
      </c>
    </row>
    <row r="20" spans="1:19" ht="16" x14ac:dyDescent="0.2">
      <c r="A20" s="2" t="s">
        <v>31</v>
      </c>
      <c r="B20" s="3">
        <v>620000</v>
      </c>
      <c r="C20" s="3">
        <v>663000</v>
      </c>
      <c r="D20" s="3">
        <v>562000</v>
      </c>
      <c r="E20" s="3">
        <v>665000</v>
      </c>
      <c r="F20" s="3">
        <v>850000</v>
      </c>
      <c r="G20" s="3">
        <v>1252000</v>
      </c>
      <c r="H20" s="3">
        <v>2168000</v>
      </c>
      <c r="I20" s="3">
        <v>5726000</v>
      </c>
      <c r="J20" s="3">
        <v>6690000</v>
      </c>
      <c r="K20" s="3">
        <v>2236000</v>
      </c>
      <c r="L20" s="3">
        <v>2485000</v>
      </c>
      <c r="M20" s="3">
        <v>6413000</v>
      </c>
      <c r="N20" s="3">
        <v>10491000</v>
      </c>
      <c r="O20" s="4">
        <v>10491000</v>
      </c>
      <c r="P20" s="3">
        <v>3938000</v>
      </c>
      <c r="Q20" s="3">
        <v>1756000</v>
      </c>
      <c r="R20" s="3">
        <v>1288000</v>
      </c>
      <c r="S20" s="3">
        <v>3509000</v>
      </c>
    </row>
    <row r="21" spans="1:19" ht="16" x14ac:dyDescent="0.2">
      <c r="A21" s="2" t="s">
        <v>32</v>
      </c>
      <c r="B21" s="3">
        <v>686000</v>
      </c>
      <c r="C21" s="3">
        <v>717000</v>
      </c>
      <c r="D21" s="3">
        <v>610000</v>
      </c>
      <c r="E21" s="3">
        <v>757000</v>
      </c>
      <c r="F21" s="3">
        <v>965000</v>
      </c>
      <c r="G21" s="3">
        <v>1423000</v>
      </c>
      <c r="H21" s="3">
        <v>2177000</v>
      </c>
      <c r="I21" s="3">
        <v>5726000</v>
      </c>
      <c r="J21" s="3">
        <v>6690000</v>
      </c>
      <c r="K21" s="3">
        <v>2236000</v>
      </c>
      <c r="L21" s="3">
        <v>2485000</v>
      </c>
      <c r="M21" s="3">
        <v>6413000</v>
      </c>
      <c r="N21" s="3">
        <v>10491000</v>
      </c>
      <c r="O21" s="4">
        <v>10491000</v>
      </c>
      <c r="P21" s="3">
        <v>3938000</v>
      </c>
      <c r="Q21" s="3">
        <v>1756000</v>
      </c>
      <c r="R21" s="3">
        <v>1288000</v>
      </c>
      <c r="S21" s="3">
        <v>3509000</v>
      </c>
    </row>
    <row r="22" spans="1:19" ht="16" x14ac:dyDescent="0.2">
      <c r="A22" s="2" t="s">
        <v>33</v>
      </c>
      <c r="B22" s="3">
        <v>66000</v>
      </c>
      <c r="C22" s="3">
        <v>54000</v>
      </c>
      <c r="D22" s="3">
        <v>48000</v>
      </c>
      <c r="E22" s="3">
        <v>92000</v>
      </c>
      <c r="F22" s="3">
        <v>115000</v>
      </c>
      <c r="G22" s="3">
        <v>171000</v>
      </c>
      <c r="H22" s="3">
        <v>9000</v>
      </c>
      <c r="I22" s="3" t="s">
        <v>24</v>
      </c>
      <c r="J22" s="3" t="s">
        <v>24</v>
      </c>
      <c r="K22" s="3" t="s">
        <v>24</v>
      </c>
      <c r="L22" s="3" t="s">
        <v>24</v>
      </c>
      <c r="M22" s="3" t="s">
        <v>24</v>
      </c>
      <c r="N22" s="3" t="s">
        <v>24</v>
      </c>
      <c r="O22" s="4" t="s">
        <v>24</v>
      </c>
      <c r="P22" s="3" t="s">
        <v>24</v>
      </c>
      <c r="Q22" s="3" t="s">
        <v>24</v>
      </c>
      <c r="R22" s="3" t="s">
        <v>24</v>
      </c>
      <c r="S22" s="3" t="s">
        <v>24</v>
      </c>
    </row>
    <row r="23" spans="1:19" ht="16" x14ac:dyDescent="0.2">
      <c r="A23" s="2" t="s">
        <v>34</v>
      </c>
      <c r="B23" s="3" t="s">
        <v>24</v>
      </c>
      <c r="C23" s="3" t="s">
        <v>24</v>
      </c>
      <c r="D23" s="3" t="s">
        <v>24</v>
      </c>
      <c r="E23" s="3" t="s">
        <v>24</v>
      </c>
      <c r="F23" s="3" t="s">
        <v>24</v>
      </c>
      <c r="G23" s="3">
        <v>171000</v>
      </c>
      <c r="H23" s="3" t="s">
        <v>24</v>
      </c>
      <c r="I23" s="3">
        <v>773000</v>
      </c>
      <c r="J23" s="3">
        <v>1020000</v>
      </c>
      <c r="K23" s="3">
        <v>-1410000</v>
      </c>
      <c r="L23" s="3">
        <v>2834000</v>
      </c>
      <c r="M23" s="3">
        <v>-8079000</v>
      </c>
      <c r="N23" s="3">
        <v>-3646000</v>
      </c>
      <c r="O23" s="4">
        <v>-3646000</v>
      </c>
      <c r="P23" s="3">
        <v>-8054000</v>
      </c>
      <c r="Q23" s="3">
        <v>6335000</v>
      </c>
      <c r="R23" s="3">
        <v>78000</v>
      </c>
      <c r="S23" s="3">
        <v>-2005000</v>
      </c>
    </row>
    <row r="24" spans="1:19" ht="16" x14ac:dyDescent="0.2">
      <c r="A24" s="2" t="s">
        <v>35</v>
      </c>
      <c r="B24" s="3">
        <v>58073000</v>
      </c>
      <c r="C24" s="3">
        <v>45351000</v>
      </c>
      <c r="D24" s="3">
        <v>26596000</v>
      </c>
      <c r="E24" s="3">
        <v>79594000</v>
      </c>
      <c r="F24" s="3">
        <v>145896000</v>
      </c>
      <c r="G24" s="3">
        <v>105427000</v>
      </c>
      <c r="H24" s="3">
        <v>99709000</v>
      </c>
      <c r="I24" s="3">
        <v>88215000</v>
      </c>
      <c r="J24" s="3">
        <v>89523000</v>
      </c>
      <c r="K24" s="3">
        <v>84828000</v>
      </c>
      <c r="L24" s="3">
        <v>118628000</v>
      </c>
      <c r="M24" s="3">
        <v>336833000</v>
      </c>
      <c r="N24" s="3">
        <v>754297000</v>
      </c>
      <c r="O24" s="4">
        <v>754297000</v>
      </c>
      <c r="P24" s="3">
        <v>224239000</v>
      </c>
      <c r="Q24" s="3">
        <v>207091000</v>
      </c>
      <c r="R24" s="3">
        <v>97716000</v>
      </c>
      <c r="S24" s="3">
        <v>225251000</v>
      </c>
    </row>
    <row r="25" spans="1:19" ht="16" x14ac:dyDescent="0.2">
      <c r="A25" s="2" t="s">
        <v>36</v>
      </c>
      <c r="B25" s="3">
        <v>17860000</v>
      </c>
      <c r="C25" s="3">
        <v>15498000</v>
      </c>
      <c r="D25" s="3">
        <v>5317000</v>
      </c>
      <c r="E25" s="3">
        <v>25437000</v>
      </c>
      <c r="F25" s="3">
        <v>44033000</v>
      </c>
      <c r="G25" s="3">
        <v>33406000</v>
      </c>
      <c r="H25" s="3">
        <v>30385000</v>
      </c>
      <c r="I25" s="3">
        <v>38443000</v>
      </c>
      <c r="J25" s="3">
        <v>14884000</v>
      </c>
      <c r="K25" s="3">
        <v>2922000</v>
      </c>
      <c r="L25" s="3">
        <v>6936000</v>
      </c>
      <c r="M25" s="3">
        <v>52876000</v>
      </c>
      <c r="N25" s="3">
        <v>110666000</v>
      </c>
      <c r="O25" s="4">
        <v>110666000</v>
      </c>
      <c r="P25" s="3">
        <v>38934000</v>
      </c>
      <c r="Q25" s="3">
        <v>29573000</v>
      </c>
      <c r="R25" s="3">
        <v>10857000</v>
      </c>
      <c r="S25" s="3">
        <v>31302000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40213000</v>
      </c>
      <c r="C27" s="3">
        <v>29853000</v>
      </c>
      <c r="D27" s="3">
        <v>21279000</v>
      </c>
      <c r="E27" s="3">
        <v>54157000</v>
      </c>
      <c r="F27" s="3">
        <v>101863000</v>
      </c>
      <c r="G27" s="3">
        <v>72021000</v>
      </c>
      <c r="H27" s="3">
        <v>69324000</v>
      </c>
      <c r="I27" s="3">
        <v>46165000</v>
      </c>
      <c r="J27" s="3">
        <v>71918000</v>
      </c>
      <c r="K27" s="3">
        <v>84308000</v>
      </c>
      <c r="L27" s="3">
        <v>111865000</v>
      </c>
      <c r="M27" s="3">
        <v>285163000</v>
      </c>
      <c r="N27" s="3">
        <v>639998000</v>
      </c>
      <c r="O27" s="4">
        <v>639998000</v>
      </c>
      <c r="P27" s="3">
        <v>184416000</v>
      </c>
      <c r="Q27" s="3">
        <v>176167000</v>
      </c>
      <c r="R27" s="3">
        <v>85846000</v>
      </c>
      <c r="S27" s="3">
        <v>193569000</v>
      </c>
    </row>
    <row r="28" spans="1:19"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19" ht="16" x14ac:dyDescent="0.2">
      <c r="A31" s="2" t="s">
        <v>42</v>
      </c>
      <c r="B31" s="3">
        <v>40213000</v>
      </c>
      <c r="C31" s="3">
        <v>29853000</v>
      </c>
      <c r="D31" s="3">
        <v>21279000</v>
      </c>
      <c r="E31" s="3">
        <v>54157000</v>
      </c>
      <c r="F31" s="3">
        <v>101863000</v>
      </c>
      <c r="G31" s="3">
        <v>72021000</v>
      </c>
      <c r="H31" s="3">
        <v>69324000</v>
      </c>
      <c r="I31" s="3">
        <v>46165000</v>
      </c>
      <c r="J31" s="3">
        <v>71918000</v>
      </c>
      <c r="K31" s="3">
        <v>84308000</v>
      </c>
      <c r="L31" s="3">
        <v>111865000</v>
      </c>
      <c r="M31" s="3">
        <v>285163000</v>
      </c>
      <c r="N31" s="3">
        <v>639998000</v>
      </c>
      <c r="O31" s="4">
        <v>639998000</v>
      </c>
      <c r="P31" s="3">
        <v>184416000</v>
      </c>
      <c r="Q31" s="3">
        <v>176167000</v>
      </c>
      <c r="R31" s="3">
        <v>85846000</v>
      </c>
      <c r="S31" s="3">
        <v>193569000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19" ht="16" x14ac:dyDescent="0.2">
      <c r="A33" s="28" t="s">
        <v>44</v>
      </c>
      <c r="B33" s="26">
        <v>40213000</v>
      </c>
      <c r="C33" s="26">
        <v>29853000</v>
      </c>
      <c r="D33" s="26">
        <v>21279000</v>
      </c>
      <c r="E33" s="26">
        <v>54157000</v>
      </c>
      <c r="F33" s="26">
        <v>101863000</v>
      </c>
      <c r="G33" s="26">
        <v>72021000</v>
      </c>
      <c r="H33" s="26">
        <v>69324000</v>
      </c>
      <c r="I33" s="26">
        <v>46165000</v>
      </c>
      <c r="J33" s="26">
        <v>71918000</v>
      </c>
      <c r="K33" s="26">
        <v>84308000</v>
      </c>
      <c r="L33" s="26">
        <v>111865000</v>
      </c>
      <c r="M33" s="26">
        <v>285163000</v>
      </c>
      <c r="N33" s="26">
        <v>639998000</v>
      </c>
      <c r="O33" s="27">
        <v>639998000</v>
      </c>
      <c r="P33" s="26">
        <v>184416000</v>
      </c>
      <c r="Q33" s="26">
        <v>176167000</v>
      </c>
      <c r="R33" s="26">
        <v>85846000</v>
      </c>
      <c r="S33" s="26">
        <v>193569000</v>
      </c>
    </row>
    <row r="34" spans="1:19" ht="16" x14ac:dyDescent="0.2">
      <c r="A34" s="23" t="s">
        <v>60</v>
      </c>
      <c r="B34" s="29">
        <v>4.2699999999999996</v>
      </c>
      <c r="C34" s="29">
        <v>2.94</v>
      </c>
      <c r="D34" s="29">
        <v>1.83</v>
      </c>
      <c r="E34" s="29">
        <v>3.69</v>
      </c>
      <c r="F34" s="29">
        <v>5.12</v>
      </c>
      <c r="G34" s="29">
        <v>3.25</v>
      </c>
      <c r="H34" s="29">
        <v>2.74</v>
      </c>
      <c r="I34" s="29">
        <v>1.37</v>
      </c>
      <c r="J34" s="29">
        <v>2.0499999999999998</v>
      </c>
      <c r="K34" s="29">
        <v>2.52</v>
      </c>
      <c r="L34" s="29">
        <v>3.14</v>
      </c>
      <c r="M34" s="29">
        <v>5.49</v>
      </c>
      <c r="N34" s="29">
        <v>8.98</v>
      </c>
      <c r="O34" s="30">
        <v>8.98</v>
      </c>
      <c r="P34" s="29">
        <v>9.9600000000000009</v>
      </c>
      <c r="Q34" s="29">
        <v>9.77</v>
      </c>
      <c r="R34" s="29">
        <v>6.69</v>
      </c>
      <c r="S34" s="29">
        <v>8.86</v>
      </c>
    </row>
    <row r="35" spans="1:19" ht="16" x14ac:dyDescent="0.2">
      <c r="A35" s="14" t="s">
        <v>195</v>
      </c>
      <c r="B35" s="15"/>
      <c r="C35" s="16">
        <f>(C33/B33)-1</f>
        <v>-0.25762813020664954</v>
      </c>
      <c r="D35" s="16">
        <f>(D33/C33)-1</f>
        <v>-0.28720731584765347</v>
      </c>
      <c r="E35" s="16">
        <f>(E33/D33)-1</f>
        <v>1.5450914046712723</v>
      </c>
      <c r="F35" s="16">
        <f t="shared" ref="F35:N35" si="4">(F33/E33)-1</f>
        <v>0.8808833576453643</v>
      </c>
      <c r="G35" s="16">
        <f t="shared" si="4"/>
        <v>-0.29296211578296338</v>
      </c>
      <c r="H35" s="16">
        <f t="shared" si="4"/>
        <v>-3.7447411171741551E-2</v>
      </c>
      <c r="I35" s="16">
        <f t="shared" si="4"/>
        <v>-0.33406900928971206</v>
      </c>
      <c r="J35" s="16">
        <f t="shared" si="4"/>
        <v>0.55784685367702802</v>
      </c>
      <c r="K35" s="16">
        <f t="shared" si="4"/>
        <v>0.17227954058789186</v>
      </c>
      <c r="L35" s="16">
        <f t="shared" si="4"/>
        <v>0.32686103335389283</v>
      </c>
      <c r="M35" s="16">
        <f t="shared" si="4"/>
        <v>1.549170875608993</v>
      </c>
      <c r="N35" s="16">
        <f t="shared" si="4"/>
        <v>1.2443234220428319</v>
      </c>
      <c r="O35" s="16">
        <f>(O33/N33)-1</f>
        <v>0</v>
      </c>
      <c r="P35" s="16"/>
      <c r="Q35" s="16">
        <f>(Q33/P33)-1</f>
        <v>-4.4730392156862697E-2</v>
      </c>
      <c r="R35" s="16">
        <f>(R33/Q33)-1</f>
        <v>-0.51270101664897516</v>
      </c>
      <c r="S35" s="16">
        <f>(S33/R33)-1</f>
        <v>1.2548400624373879</v>
      </c>
    </row>
    <row r="36" spans="1:19" ht="16" x14ac:dyDescent="0.2">
      <c r="A36" s="17" t="s">
        <v>196</v>
      </c>
      <c r="B36" s="18">
        <f t="shared" ref="B36:S36" si="5">(B16*(1-0.25))/(B126+B105+B96)</f>
        <v>0.13977230511305364</v>
      </c>
      <c r="C36" s="18">
        <f t="shared" si="5"/>
        <v>9.2993144852711346E-2</v>
      </c>
      <c r="D36" s="18">
        <f t="shared" si="5"/>
        <v>4.9813521808777315E-2</v>
      </c>
      <c r="E36" s="18">
        <f t="shared" si="5"/>
        <v>0.11676459405879135</v>
      </c>
      <c r="F36" s="18">
        <f t="shared" si="5"/>
        <v>0.15425362685477303</v>
      </c>
      <c r="G36" s="18">
        <f t="shared" si="5"/>
        <v>9.8332081750449093E-2</v>
      </c>
      <c r="H36" s="18">
        <f t="shared" si="5"/>
        <v>7.9453603905726006E-2</v>
      </c>
      <c r="I36" s="18">
        <f t="shared" si="5"/>
        <v>7.4008186840835849E-2</v>
      </c>
      <c r="J36" s="18">
        <f t="shared" si="5"/>
        <v>7.5583552630897069E-2</v>
      </c>
      <c r="K36" s="18">
        <f t="shared" si="5"/>
        <v>5.8661337511916635E-2</v>
      </c>
      <c r="L36" s="18">
        <f t="shared" si="5"/>
        <v>7.7817833428763722E-2</v>
      </c>
      <c r="M36" s="18">
        <f t="shared" si="5"/>
        <v>0.12428869360908297</v>
      </c>
      <c r="N36" s="18">
        <f t="shared" si="5"/>
        <v>0.2523153877705448</v>
      </c>
      <c r="O36" s="18">
        <f t="shared" si="5"/>
        <v>0.2523153877705448</v>
      </c>
      <c r="P36" s="18">
        <f t="shared" si="5"/>
        <v>8.80526281823239E-2</v>
      </c>
      <c r="Q36" s="18">
        <f t="shared" si="5"/>
        <v>8.1140170056672151E-2</v>
      </c>
      <c r="R36" s="18">
        <f t="shared" si="5"/>
        <v>3.7995837977686651E-2</v>
      </c>
      <c r="S36" s="18">
        <f t="shared" si="5"/>
        <v>7.5168333574956947E-2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40213000</v>
      </c>
      <c r="C39" s="3">
        <v>29853000</v>
      </c>
      <c r="D39" s="3">
        <v>21279000</v>
      </c>
      <c r="E39" s="3">
        <v>54157000</v>
      </c>
      <c r="F39" s="3">
        <v>101863000</v>
      </c>
      <c r="G39" s="3">
        <v>72021000</v>
      </c>
      <c r="H39" s="3">
        <v>69324000</v>
      </c>
      <c r="I39" s="3">
        <v>46165000</v>
      </c>
      <c r="J39" s="3">
        <v>71918000</v>
      </c>
      <c r="K39" s="3">
        <v>84308000</v>
      </c>
      <c r="L39" s="3">
        <v>111865000</v>
      </c>
      <c r="M39" s="3">
        <v>285163000</v>
      </c>
      <c r="N39" s="3">
        <v>639998000</v>
      </c>
      <c r="O39" s="4">
        <v>639998000</v>
      </c>
      <c r="P39" s="3">
        <v>184416000</v>
      </c>
      <c r="Q39" s="3">
        <v>176167000</v>
      </c>
      <c r="R39" s="3">
        <v>85846000</v>
      </c>
      <c r="S39" s="3">
        <v>193569000</v>
      </c>
    </row>
    <row r="40" spans="1:19" ht="16" x14ac:dyDescent="0.2">
      <c r="A40" s="2" t="s">
        <v>48</v>
      </c>
      <c r="B40" s="3">
        <v>38132000</v>
      </c>
      <c r="C40" s="3">
        <v>40890000</v>
      </c>
      <c r="D40" s="3">
        <v>41992000</v>
      </c>
      <c r="E40" s="3">
        <v>43599000</v>
      </c>
      <c r="F40" s="3">
        <v>46434000</v>
      </c>
      <c r="G40" s="3">
        <v>47917000</v>
      </c>
      <c r="H40" s="3">
        <v>48383000</v>
      </c>
      <c r="I40" s="3">
        <v>49345000</v>
      </c>
      <c r="J40" s="3">
        <v>49917000</v>
      </c>
      <c r="K40" s="3">
        <v>50987000</v>
      </c>
      <c r="L40" s="3">
        <v>51157000</v>
      </c>
      <c r="M40" s="3">
        <v>51478000</v>
      </c>
      <c r="N40" s="3">
        <v>52925000</v>
      </c>
      <c r="O40" s="4">
        <v>52929250</v>
      </c>
      <c r="P40" s="3">
        <v>52598000</v>
      </c>
      <c r="Q40" s="3">
        <v>53160000</v>
      </c>
      <c r="R40" s="3">
        <v>53280000</v>
      </c>
      <c r="S40" s="3">
        <v>52679000</v>
      </c>
    </row>
    <row r="41" spans="1:19" ht="16" x14ac:dyDescent="0.2">
      <c r="A41" s="2" t="s">
        <v>49</v>
      </c>
      <c r="B41" s="5">
        <v>1.05</v>
      </c>
      <c r="C41" s="5">
        <v>0.73</v>
      </c>
      <c r="D41" s="5">
        <v>0.51</v>
      </c>
      <c r="E41" s="5">
        <v>1.24</v>
      </c>
      <c r="F41" s="5">
        <v>2.19</v>
      </c>
      <c r="G41" s="5">
        <v>1.5</v>
      </c>
      <c r="H41" s="5">
        <v>1.43</v>
      </c>
      <c r="I41" s="5">
        <v>0.94</v>
      </c>
      <c r="J41" s="5">
        <v>1.44</v>
      </c>
      <c r="K41" s="5">
        <v>1.65</v>
      </c>
      <c r="L41" s="5">
        <v>2.19</v>
      </c>
      <c r="M41" s="5">
        <v>5.54</v>
      </c>
      <c r="N41" s="5">
        <v>12.09</v>
      </c>
      <c r="O41" s="6">
        <v>12.09</v>
      </c>
      <c r="P41" s="5">
        <v>3.51</v>
      </c>
      <c r="Q41" s="5">
        <v>3.31</v>
      </c>
      <c r="R41" s="5">
        <v>1.61</v>
      </c>
      <c r="S41" s="5">
        <v>3.67</v>
      </c>
    </row>
    <row r="42" spans="1:19" ht="16" x14ac:dyDescent="0.2">
      <c r="A42" s="2" t="s">
        <v>50</v>
      </c>
      <c r="B42" s="5">
        <v>1.05</v>
      </c>
      <c r="C42" s="5">
        <v>0.73</v>
      </c>
      <c r="D42" s="5">
        <v>0.51</v>
      </c>
      <c r="E42" s="5">
        <v>1.24</v>
      </c>
      <c r="F42" s="5">
        <v>2.19</v>
      </c>
      <c r="G42" s="5">
        <v>1.5</v>
      </c>
      <c r="H42" s="5">
        <v>1.43</v>
      </c>
      <c r="I42" s="5">
        <v>0.94</v>
      </c>
      <c r="J42" s="5">
        <v>1.44</v>
      </c>
      <c r="K42" s="5">
        <v>1.65</v>
      </c>
      <c r="L42" s="5">
        <v>2.19</v>
      </c>
      <c r="M42" s="5">
        <v>5.54</v>
      </c>
      <c r="N42" s="5">
        <v>12.09</v>
      </c>
      <c r="O42" s="6">
        <v>12.09</v>
      </c>
      <c r="P42" s="5">
        <v>3.51</v>
      </c>
      <c r="Q42" s="5">
        <v>3.31</v>
      </c>
      <c r="R42" s="5">
        <v>1.61</v>
      </c>
      <c r="S42" s="5">
        <v>3.67</v>
      </c>
    </row>
    <row r="43" spans="1:19" ht="16" x14ac:dyDescent="0.2">
      <c r="A43" s="2" t="s">
        <v>51</v>
      </c>
      <c r="B43" s="3">
        <v>42396000</v>
      </c>
      <c r="C43" s="3">
        <v>44152000</v>
      </c>
      <c r="D43" s="3">
        <v>43907000</v>
      </c>
      <c r="E43" s="3">
        <v>46512000</v>
      </c>
      <c r="F43" s="3">
        <v>50094000</v>
      </c>
      <c r="G43" s="3">
        <v>51836000</v>
      </c>
      <c r="H43" s="3">
        <v>51679000</v>
      </c>
      <c r="I43" s="3">
        <v>52151000</v>
      </c>
      <c r="J43" s="3">
        <v>51716000</v>
      </c>
      <c r="K43" s="3">
        <v>52838000</v>
      </c>
      <c r="L43" s="3">
        <v>53507000</v>
      </c>
      <c r="M43" s="3">
        <v>53615000</v>
      </c>
      <c r="N43" s="3">
        <v>55970000</v>
      </c>
      <c r="O43" s="4">
        <v>55974750</v>
      </c>
      <c r="P43" s="3">
        <v>55017000</v>
      </c>
      <c r="Q43" s="3">
        <v>56144000</v>
      </c>
      <c r="R43" s="3">
        <v>56233000</v>
      </c>
      <c r="S43" s="3">
        <v>56505000</v>
      </c>
    </row>
    <row r="44" spans="1:19" ht="16" x14ac:dyDescent="0.2">
      <c r="A44" s="2" t="s">
        <v>52</v>
      </c>
      <c r="B44" s="5">
        <v>0.95</v>
      </c>
      <c r="C44" s="5">
        <v>0.68</v>
      </c>
      <c r="D44" s="5">
        <v>0.48</v>
      </c>
      <c r="E44" s="5">
        <v>1.1599999999999999</v>
      </c>
      <c r="F44" s="5">
        <v>2.0299999999999998</v>
      </c>
      <c r="G44" s="5">
        <v>1.39</v>
      </c>
      <c r="H44" s="5">
        <v>1.34</v>
      </c>
      <c r="I44" s="5">
        <v>0.89</v>
      </c>
      <c r="J44" s="5">
        <v>1.39</v>
      </c>
      <c r="K44" s="5">
        <v>1.6</v>
      </c>
      <c r="L44" s="5">
        <v>2.09</v>
      </c>
      <c r="M44" s="5">
        <v>5.32</v>
      </c>
      <c r="N44" s="5">
        <v>11.43</v>
      </c>
      <c r="O44" s="6">
        <v>11.43</v>
      </c>
      <c r="P44" s="5">
        <v>3.35</v>
      </c>
      <c r="Q44" s="5">
        <v>3.14</v>
      </c>
      <c r="R44" s="5">
        <v>1.53</v>
      </c>
      <c r="S44" s="5">
        <v>3.43</v>
      </c>
    </row>
    <row r="45" spans="1:19" ht="16" x14ac:dyDescent="0.2">
      <c r="A45" s="2" t="s">
        <v>53</v>
      </c>
      <c r="B45" s="5">
        <v>0.95</v>
      </c>
      <c r="C45" s="5">
        <v>0.68</v>
      </c>
      <c r="D45" s="5">
        <v>0.48</v>
      </c>
      <c r="E45" s="5">
        <v>1.1599999999999999</v>
      </c>
      <c r="F45" s="5">
        <v>2.0299999999999998</v>
      </c>
      <c r="G45" s="5">
        <v>1.39</v>
      </c>
      <c r="H45" s="5">
        <v>1.34</v>
      </c>
      <c r="I45" s="5">
        <v>0.89</v>
      </c>
      <c r="J45" s="5">
        <v>1.39</v>
      </c>
      <c r="K45" s="5">
        <v>1.6</v>
      </c>
      <c r="L45" s="5">
        <v>2.09</v>
      </c>
      <c r="M45" s="5">
        <v>5.32</v>
      </c>
      <c r="N45" s="5">
        <v>11.43</v>
      </c>
      <c r="O45" s="6">
        <v>11.43</v>
      </c>
      <c r="P45" s="5">
        <v>3.35</v>
      </c>
      <c r="Q45" s="5">
        <v>3.14</v>
      </c>
      <c r="R45" s="5">
        <v>1.53</v>
      </c>
      <c r="S45" s="5">
        <v>3.43</v>
      </c>
    </row>
    <row r="46" spans="1:19" ht="16" x14ac:dyDescent="0.2">
      <c r="A46" s="2" t="s">
        <v>54</v>
      </c>
      <c r="B46" s="3">
        <v>64146000</v>
      </c>
      <c r="C46" s="3">
        <v>53085000</v>
      </c>
      <c r="D46" s="3">
        <v>34993000</v>
      </c>
      <c r="E46" s="3">
        <v>86623000</v>
      </c>
      <c r="F46" s="3">
        <v>154879000</v>
      </c>
      <c r="G46" s="3">
        <v>120132000</v>
      </c>
      <c r="H46" s="3">
        <v>117803000</v>
      </c>
      <c r="I46" s="3">
        <v>116560000</v>
      </c>
      <c r="J46" s="3">
        <v>121435000</v>
      </c>
      <c r="K46" s="3">
        <v>114126000</v>
      </c>
      <c r="L46" s="3">
        <v>152132000</v>
      </c>
      <c r="M46" s="3">
        <v>367638000</v>
      </c>
      <c r="N46" s="3">
        <v>761142000</v>
      </c>
      <c r="O46" s="4">
        <v>787074000</v>
      </c>
      <c r="P46" s="3">
        <v>228670000</v>
      </c>
      <c r="Q46" s="3">
        <v>223831000</v>
      </c>
      <c r="R46" s="3">
        <v>107818000</v>
      </c>
      <c r="S46" s="3">
        <v>226755000</v>
      </c>
    </row>
    <row r="47" spans="1:19" ht="16" x14ac:dyDescent="0.2">
      <c r="A47" s="2" t="s">
        <v>55</v>
      </c>
      <c r="B47" s="5">
        <v>6.81</v>
      </c>
      <c r="C47" s="5">
        <v>5.24</v>
      </c>
      <c r="D47" s="5">
        <v>3.01</v>
      </c>
      <c r="E47" s="5">
        <v>5.9</v>
      </c>
      <c r="F47" s="5">
        <v>7.78</v>
      </c>
      <c r="G47" s="5">
        <v>5.42</v>
      </c>
      <c r="H47" s="5">
        <v>4.66</v>
      </c>
      <c r="I47" s="5">
        <v>3.47</v>
      </c>
      <c r="J47" s="5">
        <v>3.47</v>
      </c>
      <c r="K47" s="5">
        <v>3.42</v>
      </c>
      <c r="L47" s="5">
        <v>4.28</v>
      </c>
      <c r="M47" s="5">
        <v>7.08</v>
      </c>
      <c r="N47" s="5">
        <v>10.68</v>
      </c>
      <c r="O47" s="6">
        <v>11.05</v>
      </c>
      <c r="P47" s="5">
        <v>9.3000000000000007</v>
      </c>
      <c r="Q47" s="5">
        <v>10.9</v>
      </c>
      <c r="R47" s="5">
        <v>11.16</v>
      </c>
      <c r="S47" s="5">
        <v>11.05</v>
      </c>
    </row>
    <row r="48" spans="1:19" ht="16" x14ac:dyDescent="0.2">
      <c r="A48" s="2" t="s">
        <v>56</v>
      </c>
      <c r="B48" s="3">
        <v>58693000</v>
      </c>
      <c r="C48" s="3">
        <v>46014000</v>
      </c>
      <c r="D48" s="3">
        <v>27158000</v>
      </c>
      <c r="E48" s="3">
        <v>80259000</v>
      </c>
      <c r="F48" s="3">
        <v>146746000</v>
      </c>
      <c r="G48" s="3">
        <v>106850000</v>
      </c>
      <c r="H48" s="3">
        <v>101877000</v>
      </c>
      <c r="I48" s="3">
        <v>94714000</v>
      </c>
      <c r="J48" s="3">
        <v>97233000</v>
      </c>
      <c r="K48" s="3">
        <v>85654000</v>
      </c>
      <c r="L48" s="3">
        <v>123947000</v>
      </c>
      <c r="M48" s="3">
        <v>335167000</v>
      </c>
      <c r="N48" s="3">
        <v>761142000</v>
      </c>
      <c r="O48" s="4">
        <v>761142000</v>
      </c>
      <c r="P48" s="3">
        <v>220123000</v>
      </c>
      <c r="Q48" s="3">
        <v>215182000</v>
      </c>
      <c r="R48" s="3">
        <v>99082000</v>
      </c>
      <c r="S48" s="3">
        <v>226755000</v>
      </c>
    </row>
    <row r="49" spans="1:19" ht="16" x14ac:dyDescent="0.2">
      <c r="A49" s="2" t="s">
        <v>57</v>
      </c>
      <c r="B49" s="3">
        <v>58693000</v>
      </c>
      <c r="C49" s="3">
        <v>46014000</v>
      </c>
      <c r="D49" s="3">
        <v>27158000</v>
      </c>
      <c r="E49" s="3">
        <v>80259000</v>
      </c>
      <c r="F49" s="3">
        <v>146746000</v>
      </c>
      <c r="G49" s="3">
        <v>106850000</v>
      </c>
      <c r="H49" s="3">
        <v>101877000</v>
      </c>
      <c r="I49" s="3">
        <v>94714000</v>
      </c>
      <c r="J49" s="3">
        <v>97233000</v>
      </c>
      <c r="K49" s="3">
        <v>85654000</v>
      </c>
      <c r="L49" s="3">
        <v>123947000</v>
      </c>
      <c r="M49" s="3">
        <v>335167000</v>
      </c>
      <c r="N49" s="3">
        <v>761142000</v>
      </c>
      <c r="O49" s="4">
        <v>761142000</v>
      </c>
      <c r="P49" s="3">
        <v>220123000</v>
      </c>
      <c r="Q49" s="3">
        <v>215182000</v>
      </c>
      <c r="R49" s="3">
        <v>99082000</v>
      </c>
      <c r="S49" s="3">
        <v>226755000</v>
      </c>
    </row>
    <row r="50" spans="1:19" ht="16" x14ac:dyDescent="0.2">
      <c r="A50" s="2" t="s">
        <v>61</v>
      </c>
      <c r="B50" s="3">
        <v>760760</v>
      </c>
      <c r="C50" s="3">
        <v>688773</v>
      </c>
      <c r="D50" s="3">
        <v>743325</v>
      </c>
      <c r="E50" s="3">
        <v>798695</v>
      </c>
      <c r="F50" s="3">
        <v>886139</v>
      </c>
      <c r="G50" s="3">
        <v>834491</v>
      </c>
      <c r="H50" s="3">
        <v>844431</v>
      </c>
      <c r="I50" s="3">
        <v>1121660</v>
      </c>
      <c r="J50" s="3">
        <v>953777</v>
      </c>
      <c r="K50" s="3">
        <v>837542</v>
      </c>
      <c r="L50" s="3">
        <v>856179</v>
      </c>
      <c r="M50" s="3">
        <v>1127870</v>
      </c>
      <c r="N50" s="3">
        <v>1546230</v>
      </c>
      <c r="O50" s="4">
        <v>1546230</v>
      </c>
      <c r="P50" s="3">
        <v>402025</v>
      </c>
      <c r="Q50" s="3">
        <v>391403</v>
      </c>
      <c r="R50" s="3">
        <v>278554</v>
      </c>
      <c r="S50" s="3">
        <v>474248</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5453000</v>
      </c>
      <c r="C52" s="3">
        <v>7071000</v>
      </c>
      <c r="D52" s="3">
        <v>7835000</v>
      </c>
      <c r="E52" s="3">
        <v>6364000</v>
      </c>
      <c r="F52" s="3">
        <v>8133000</v>
      </c>
      <c r="G52" s="3">
        <v>13282000</v>
      </c>
      <c r="H52" s="3">
        <v>15926000</v>
      </c>
      <c r="I52" s="3">
        <v>21846000</v>
      </c>
      <c r="J52" s="3">
        <v>24202000</v>
      </c>
      <c r="K52" s="3">
        <v>28472000</v>
      </c>
      <c r="L52" s="3">
        <v>28185000</v>
      </c>
      <c r="M52" s="3">
        <v>32471000</v>
      </c>
      <c r="N52" s="3" t="s">
        <v>24</v>
      </c>
      <c r="O52" s="4">
        <v>25932000</v>
      </c>
      <c r="P52" s="3">
        <v>8547000</v>
      </c>
      <c r="Q52" s="3">
        <v>8649000</v>
      </c>
      <c r="R52" s="3">
        <v>8736000</v>
      </c>
      <c r="S52" s="3" t="s">
        <v>24</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369622000</v>
      </c>
      <c r="C55" s="3">
        <v>481912000</v>
      </c>
      <c r="D55" s="3">
        <v>523192000</v>
      </c>
      <c r="E55" s="3">
        <v>654081000</v>
      </c>
      <c r="F55" s="3">
        <v>914415000</v>
      </c>
      <c r="G55" s="3">
        <v>938002000</v>
      </c>
      <c r="H55" s="3">
        <v>1246599000</v>
      </c>
      <c r="I55" s="3">
        <v>1530878000</v>
      </c>
      <c r="J55" s="3">
        <v>1421771000</v>
      </c>
      <c r="K55" s="3">
        <v>1592761000</v>
      </c>
      <c r="L55" s="3">
        <v>1867259000</v>
      </c>
      <c r="M55" s="3">
        <v>2806315000</v>
      </c>
      <c r="N55" s="3">
        <v>3179426000</v>
      </c>
      <c r="O55" s="4">
        <v>3179426000</v>
      </c>
      <c r="P55" s="3">
        <v>2879880000</v>
      </c>
      <c r="Q55" s="3">
        <v>2649503000</v>
      </c>
      <c r="R55" s="3">
        <v>2715175000</v>
      </c>
      <c r="S55" s="3">
        <v>3179426000</v>
      </c>
    </row>
    <row r="56" spans="1:19" ht="16" x14ac:dyDescent="0.2">
      <c r="A56" s="2" t="s">
        <v>65</v>
      </c>
      <c r="B56" s="3">
        <v>70002000</v>
      </c>
      <c r="C56" s="3">
        <v>80826000</v>
      </c>
      <c r="D56" s="3">
        <v>93038000</v>
      </c>
      <c r="E56" s="3">
        <v>96872000</v>
      </c>
      <c r="F56" s="3">
        <v>95442000</v>
      </c>
      <c r="G56" s="3">
        <v>180964000</v>
      </c>
      <c r="H56" s="3">
        <v>113196000</v>
      </c>
      <c r="I56" s="3">
        <v>115377000</v>
      </c>
      <c r="J56" s="3">
        <v>248164000</v>
      </c>
      <c r="K56" s="3">
        <v>210533000</v>
      </c>
      <c r="L56" s="3">
        <v>232266000</v>
      </c>
      <c r="M56" s="3">
        <v>267397000</v>
      </c>
      <c r="N56" s="3">
        <v>440459000</v>
      </c>
      <c r="O56" s="4">
        <v>440459000</v>
      </c>
      <c r="P56" s="3">
        <v>238268000</v>
      </c>
      <c r="Q56" s="3">
        <v>304595000</v>
      </c>
      <c r="R56" s="3">
        <v>362801000</v>
      </c>
      <c r="S56" s="3">
        <v>440459000</v>
      </c>
    </row>
    <row r="57" spans="1:19" ht="16" x14ac:dyDescent="0.2">
      <c r="A57" s="2" t="s">
        <v>66</v>
      </c>
      <c r="B57" s="3">
        <v>69943000</v>
      </c>
      <c r="C57" s="3">
        <v>80826000</v>
      </c>
      <c r="D57" s="3">
        <v>93038000</v>
      </c>
      <c r="E57" s="3">
        <v>96872000</v>
      </c>
      <c r="F57" s="3">
        <v>95442000</v>
      </c>
      <c r="G57" s="3">
        <v>180964000</v>
      </c>
      <c r="H57" s="3">
        <v>113196000</v>
      </c>
      <c r="I57" s="3">
        <v>115377000</v>
      </c>
      <c r="J57" s="3">
        <v>248164000</v>
      </c>
      <c r="K57" s="3">
        <v>210533000</v>
      </c>
      <c r="L57" s="3">
        <v>232266000</v>
      </c>
      <c r="M57" s="3">
        <v>267397000</v>
      </c>
      <c r="N57" s="3">
        <v>440459000</v>
      </c>
      <c r="O57" s="4">
        <v>440459000</v>
      </c>
      <c r="P57" s="3">
        <v>238268000</v>
      </c>
      <c r="Q57" s="3">
        <v>304595000</v>
      </c>
      <c r="R57" s="3">
        <v>362801000</v>
      </c>
      <c r="S57" s="3">
        <v>440459000</v>
      </c>
    </row>
    <row r="58" spans="1:19" ht="16" x14ac:dyDescent="0.2">
      <c r="A58" s="2" t="s">
        <v>67</v>
      </c>
      <c r="B58" s="3">
        <v>59000</v>
      </c>
      <c r="C58" s="3" t="s">
        <v>24</v>
      </c>
      <c r="D58" s="3" t="s">
        <v>24</v>
      </c>
      <c r="E58" s="3" t="s">
        <v>24</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85005000</v>
      </c>
      <c r="C59" s="3">
        <v>102014000</v>
      </c>
      <c r="D59" s="3">
        <v>149340000</v>
      </c>
      <c r="E59" s="3">
        <v>212738000</v>
      </c>
      <c r="F59" s="3">
        <v>322594000</v>
      </c>
      <c r="G59" s="3">
        <v>288941000</v>
      </c>
      <c r="H59" s="3">
        <v>483400000</v>
      </c>
      <c r="I59" s="3">
        <v>544396000</v>
      </c>
      <c r="J59" s="3">
        <v>476674000</v>
      </c>
      <c r="K59" s="3">
        <v>403745000</v>
      </c>
      <c r="L59" s="3">
        <v>463834000</v>
      </c>
      <c r="M59" s="3">
        <v>834513000</v>
      </c>
      <c r="N59" s="3">
        <v>1148259000</v>
      </c>
      <c r="O59" s="4">
        <v>1148259000</v>
      </c>
      <c r="P59" s="3">
        <v>736312000</v>
      </c>
      <c r="Q59" s="3">
        <v>768167000</v>
      </c>
      <c r="R59" s="3">
        <v>672055000</v>
      </c>
      <c r="S59" s="3">
        <v>1148259000</v>
      </c>
    </row>
    <row r="60" spans="1:19" ht="16" x14ac:dyDescent="0.2">
      <c r="A60" s="2" t="s">
        <v>69</v>
      </c>
      <c r="B60" s="3">
        <v>85005000</v>
      </c>
      <c r="C60" s="3">
        <v>102014000</v>
      </c>
      <c r="D60" s="3">
        <v>149340000</v>
      </c>
      <c r="E60" s="3">
        <v>212738000</v>
      </c>
      <c r="F60" s="3">
        <v>322594000</v>
      </c>
      <c r="G60" s="3">
        <v>288941000</v>
      </c>
      <c r="H60" s="3">
        <v>483400000</v>
      </c>
      <c r="I60" s="3">
        <v>451393000</v>
      </c>
      <c r="J60" s="3">
        <v>393624000</v>
      </c>
      <c r="K60" s="3">
        <v>403745000</v>
      </c>
      <c r="L60" s="3">
        <v>463834000</v>
      </c>
      <c r="M60" s="3">
        <v>834513000</v>
      </c>
      <c r="N60" s="3">
        <v>1148259000</v>
      </c>
      <c r="O60" s="4">
        <v>1148259000</v>
      </c>
      <c r="P60" s="3">
        <v>736312000</v>
      </c>
      <c r="Q60" s="3">
        <v>768167000</v>
      </c>
      <c r="R60" s="3">
        <v>672055000</v>
      </c>
      <c r="S60" s="3">
        <v>1148259000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v>93003000</v>
      </c>
      <c r="J63" s="3">
        <v>83050000</v>
      </c>
      <c r="K63" s="3" t="s">
        <v>24</v>
      </c>
      <c r="L63" s="3" t="s">
        <v>24</v>
      </c>
      <c r="M63" s="3" t="s">
        <v>24</v>
      </c>
      <c r="N63" s="3" t="s">
        <v>24</v>
      </c>
      <c r="O63" s="4" t="s">
        <v>24</v>
      </c>
      <c r="P63" s="3" t="s">
        <v>24</v>
      </c>
      <c r="Q63" s="3" t="s">
        <v>24</v>
      </c>
      <c r="R63" s="3" t="s">
        <v>24</v>
      </c>
      <c r="S63" s="3" t="s">
        <v>24</v>
      </c>
    </row>
    <row r="64" spans="1:19" ht="16" x14ac:dyDescent="0.2">
      <c r="A64" s="2" t="s">
        <v>73</v>
      </c>
      <c r="B64" s="3">
        <v>192711000</v>
      </c>
      <c r="C64" s="3">
        <v>276599000</v>
      </c>
      <c r="D64" s="3">
        <v>254170000</v>
      </c>
      <c r="E64" s="3">
        <v>315837000</v>
      </c>
      <c r="F64" s="3">
        <v>463493000</v>
      </c>
      <c r="G64" s="3">
        <v>448980000</v>
      </c>
      <c r="H64" s="3">
        <v>635959000</v>
      </c>
      <c r="I64" s="3">
        <v>853252000</v>
      </c>
      <c r="J64" s="3">
        <v>670188000</v>
      </c>
      <c r="K64" s="3">
        <v>851498000</v>
      </c>
      <c r="L64" s="3">
        <v>1040964000</v>
      </c>
      <c r="M64" s="3">
        <v>1545606000</v>
      </c>
      <c r="N64" s="3">
        <v>1445564000</v>
      </c>
      <c r="O64" s="4">
        <v>1445564000</v>
      </c>
      <c r="P64" s="3">
        <v>1736055000</v>
      </c>
      <c r="Q64" s="3">
        <v>1421817000</v>
      </c>
      <c r="R64" s="3">
        <v>1540419000</v>
      </c>
      <c r="S64" s="3">
        <v>1445564000</v>
      </c>
    </row>
    <row r="65" spans="1:19" ht="16" x14ac:dyDescent="0.2">
      <c r="A65" s="2" t="s">
        <v>74</v>
      </c>
      <c r="B65" s="3">
        <v>48181000</v>
      </c>
      <c r="C65" s="3">
        <v>62849000</v>
      </c>
      <c r="D65" s="3">
        <v>58271000</v>
      </c>
      <c r="E65" s="3">
        <v>50240000</v>
      </c>
      <c r="F65" s="3">
        <v>55632000</v>
      </c>
      <c r="G65" s="3">
        <v>78666000</v>
      </c>
      <c r="H65" s="3">
        <v>124981000</v>
      </c>
      <c r="I65" s="3">
        <v>158742000</v>
      </c>
      <c r="J65" s="3">
        <v>134203000</v>
      </c>
      <c r="K65" s="3">
        <v>156535000</v>
      </c>
      <c r="L65" s="3">
        <v>198798000</v>
      </c>
      <c r="M65" s="3">
        <v>310475000</v>
      </c>
      <c r="N65" s="3" t="s">
        <v>24</v>
      </c>
      <c r="O65" s="4" t="s">
        <v>24</v>
      </c>
      <c r="P65" s="3">
        <v>306152000</v>
      </c>
      <c r="Q65" s="3">
        <v>293928000</v>
      </c>
      <c r="R65" s="3">
        <v>304943000</v>
      </c>
      <c r="S65" s="3" t="s">
        <v>24</v>
      </c>
    </row>
    <row r="66" spans="1:19" ht="16" x14ac:dyDescent="0.2">
      <c r="A66" s="2" t="s">
        <v>75</v>
      </c>
      <c r="B66" s="3">
        <v>9540000</v>
      </c>
      <c r="C66" s="3">
        <v>10252000</v>
      </c>
      <c r="D66" s="3">
        <v>10440000</v>
      </c>
      <c r="E66" s="3">
        <v>18794000</v>
      </c>
      <c r="F66" s="3">
        <v>23214000</v>
      </c>
      <c r="G66" s="3">
        <v>19105000</v>
      </c>
      <c r="H66" s="3">
        <v>34342000</v>
      </c>
      <c r="I66" s="3">
        <v>61162000</v>
      </c>
      <c r="J66" s="3">
        <v>43598000</v>
      </c>
      <c r="K66" s="3">
        <v>38146000</v>
      </c>
      <c r="L66" s="3">
        <v>80472000</v>
      </c>
      <c r="M66" s="3">
        <v>209576000</v>
      </c>
      <c r="N66" s="3" t="s">
        <v>24</v>
      </c>
      <c r="O66" s="4" t="s">
        <v>24</v>
      </c>
      <c r="P66" s="3">
        <v>333092000</v>
      </c>
      <c r="Q66" s="3">
        <v>155739000</v>
      </c>
      <c r="R66" s="3">
        <v>159994000</v>
      </c>
      <c r="S66" s="3" t="s">
        <v>24</v>
      </c>
    </row>
    <row r="67" spans="1:19" ht="16" x14ac:dyDescent="0.2">
      <c r="A67" s="2" t="s">
        <v>76</v>
      </c>
      <c r="B67" s="3">
        <v>134990000</v>
      </c>
      <c r="C67" s="3">
        <v>203498000</v>
      </c>
      <c r="D67" s="3">
        <v>185459000</v>
      </c>
      <c r="E67" s="3">
        <v>246803000</v>
      </c>
      <c r="F67" s="3">
        <v>384647000</v>
      </c>
      <c r="G67" s="3">
        <v>351209000</v>
      </c>
      <c r="H67" s="3">
        <v>577345000</v>
      </c>
      <c r="I67" s="3">
        <v>633348000</v>
      </c>
      <c r="J67" s="3">
        <v>492387000</v>
      </c>
      <c r="K67" s="3">
        <v>656817000</v>
      </c>
      <c r="L67" s="3">
        <v>761694000</v>
      </c>
      <c r="M67" s="3">
        <v>1025555000</v>
      </c>
      <c r="N67" s="3" t="s">
        <v>24</v>
      </c>
      <c r="O67" s="4" t="s">
        <v>24</v>
      </c>
      <c r="P67" s="3">
        <v>1096811000</v>
      </c>
      <c r="Q67" s="3">
        <v>972150000</v>
      </c>
      <c r="R67" s="3">
        <v>1075482000</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v>-100709000</v>
      </c>
      <c r="I69" s="3" t="s">
        <v>24</v>
      </c>
      <c r="J69" s="3" t="s">
        <v>24</v>
      </c>
      <c r="K69" s="3" t="s">
        <v>24</v>
      </c>
      <c r="L69" s="3" t="s">
        <v>24</v>
      </c>
      <c r="M69" s="3" t="s">
        <v>24</v>
      </c>
      <c r="N69" s="3">
        <v>1445564000</v>
      </c>
      <c r="O69" s="4">
        <v>1445564000</v>
      </c>
      <c r="P69" s="3" t="s">
        <v>24</v>
      </c>
      <c r="Q69" s="3" t="s">
        <v>24</v>
      </c>
      <c r="R69" s="3" t="s">
        <v>24</v>
      </c>
      <c r="S69" s="3">
        <v>1445564000</v>
      </c>
    </row>
    <row r="70" spans="1:19" ht="16" x14ac:dyDescent="0.2">
      <c r="A70" s="2" t="s">
        <v>79</v>
      </c>
      <c r="B70" s="3">
        <v>21904000</v>
      </c>
      <c r="C70" s="3">
        <v>22473000</v>
      </c>
      <c r="D70" s="3">
        <v>26644000</v>
      </c>
      <c r="E70" s="3">
        <v>28634000</v>
      </c>
      <c r="F70" s="3">
        <v>32886000</v>
      </c>
      <c r="G70" s="3">
        <v>19117000</v>
      </c>
      <c r="H70" s="3">
        <v>14044000</v>
      </c>
      <c r="I70" s="3">
        <v>17853000</v>
      </c>
      <c r="J70" s="3">
        <v>26745000</v>
      </c>
      <c r="K70" s="3">
        <v>126985000</v>
      </c>
      <c r="L70" s="3">
        <v>130195000</v>
      </c>
      <c r="M70" s="3">
        <v>158799000</v>
      </c>
      <c r="N70" s="3">
        <v>145144000</v>
      </c>
      <c r="O70" s="4">
        <v>145144000</v>
      </c>
      <c r="P70" s="3">
        <v>169245000</v>
      </c>
      <c r="Q70" s="3">
        <v>154924000</v>
      </c>
      <c r="R70" s="3">
        <v>139900000</v>
      </c>
      <c r="S70" s="3">
        <v>145144000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94998000</v>
      </c>
      <c r="C76" s="3">
        <v>107191000</v>
      </c>
      <c r="D76" s="3">
        <v>109065000</v>
      </c>
      <c r="E76" s="3">
        <v>142244000</v>
      </c>
      <c r="F76" s="3">
        <v>175394000</v>
      </c>
      <c r="G76" s="3">
        <v>227598000</v>
      </c>
      <c r="H76" s="3">
        <v>241993000</v>
      </c>
      <c r="I76" s="3">
        <v>238627000</v>
      </c>
      <c r="J76" s="3">
        <v>260823000</v>
      </c>
      <c r="K76" s="3">
        <v>325885000</v>
      </c>
      <c r="L76" s="3">
        <v>374705000</v>
      </c>
      <c r="M76" s="3">
        <v>398762000</v>
      </c>
      <c r="N76" s="3">
        <v>495303000</v>
      </c>
      <c r="O76" s="4">
        <v>495303000</v>
      </c>
      <c r="P76" s="3">
        <v>421403000</v>
      </c>
      <c r="Q76" s="3">
        <v>425439000</v>
      </c>
      <c r="R76" s="3">
        <v>477429000</v>
      </c>
      <c r="S76" s="3">
        <v>495303000</v>
      </c>
    </row>
    <row r="77" spans="1:19" ht="16" x14ac:dyDescent="0.2">
      <c r="A77" s="2" t="s">
        <v>86</v>
      </c>
      <c r="B77" s="3">
        <v>74438000</v>
      </c>
      <c r="C77" s="3">
        <v>97419000</v>
      </c>
      <c r="D77" s="3">
        <v>95912000</v>
      </c>
      <c r="E77" s="3">
        <v>130589000</v>
      </c>
      <c r="F77" s="3">
        <v>163038000</v>
      </c>
      <c r="G77" s="3">
        <v>187949000</v>
      </c>
      <c r="H77" s="3">
        <v>195576000</v>
      </c>
      <c r="I77" s="3">
        <v>196631000</v>
      </c>
      <c r="J77" s="3">
        <v>207337000</v>
      </c>
      <c r="K77" s="3">
        <v>257569000</v>
      </c>
      <c r="L77" s="3">
        <v>294760000</v>
      </c>
      <c r="M77" s="3">
        <v>309651000</v>
      </c>
      <c r="N77" s="3">
        <v>290240000</v>
      </c>
      <c r="O77" s="4">
        <v>290240000</v>
      </c>
      <c r="P77" s="3">
        <v>313249000</v>
      </c>
      <c r="Q77" s="3">
        <v>310082000</v>
      </c>
      <c r="R77" s="3">
        <v>309552000</v>
      </c>
      <c r="S77" s="3">
        <v>290240000</v>
      </c>
    </row>
    <row r="78" spans="1:19" ht="16" x14ac:dyDescent="0.2">
      <c r="A78" s="2" t="s">
        <v>87</v>
      </c>
      <c r="B78" s="3">
        <v>94718000</v>
      </c>
      <c r="C78" s="3">
        <v>124344000</v>
      </c>
      <c r="D78" s="3">
        <v>130288000</v>
      </c>
      <c r="E78" s="3">
        <v>170579000</v>
      </c>
      <c r="F78" s="3">
        <v>209836000</v>
      </c>
      <c r="G78" s="3">
        <v>246961000</v>
      </c>
      <c r="H78" s="3">
        <v>269663000</v>
      </c>
      <c r="I78" s="3">
        <v>289225000</v>
      </c>
      <c r="J78" s="3">
        <v>316112000</v>
      </c>
      <c r="K78" s="3">
        <v>384315000</v>
      </c>
      <c r="L78" s="3">
        <v>440582000</v>
      </c>
      <c r="M78" s="3">
        <v>477409000</v>
      </c>
      <c r="N78" s="3">
        <v>290240000</v>
      </c>
      <c r="O78" s="4">
        <v>290240000</v>
      </c>
      <c r="P78" s="3">
        <v>487472000</v>
      </c>
      <c r="Q78" s="3">
        <v>490626000</v>
      </c>
      <c r="R78" s="3">
        <v>496645000</v>
      </c>
      <c r="S78" s="3">
        <v>290240000</v>
      </c>
    </row>
    <row r="79" spans="1:19" ht="16" x14ac:dyDescent="0.2">
      <c r="A79" s="2" t="s">
        <v>88</v>
      </c>
      <c r="B79" s="3">
        <v>20280000</v>
      </c>
      <c r="C79" s="3">
        <v>26925000</v>
      </c>
      <c r="D79" s="3">
        <v>34376000</v>
      </c>
      <c r="E79" s="3">
        <v>39990000</v>
      </c>
      <c r="F79" s="3">
        <v>46798000</v>
      </c>
      <c r="G79" s="3">
        <v>59012000</v>
      </c>
      <c r="H79" s="3">
        <v>74087000</v>
      </c>
      <c r="I79" s="3">
        <v>92594000</v>
      </c>
      <c r="J79" s="3">
        <v>108775000</v>
      </c>
      <c r="K79" s="3">
        <v>126746000</v>
      </c>
      <c r="L79" s="3">
        <v>145822000</v>
      </c>
      <c r="M79" s="3">
        <v>167758000</v>
      </c>
      <c r="N79" s="3" t="s">
        <v>24</v>
      </c>
      <c r="O79" s="4" t="s">
        <v>24</v>
      </c>
      <c r="P79" s="3">
        <v>174223000</v>
      </c>
      <c r="Q79" s="3">
        <v>180544000</v>
      </c>
      <c r="R79" s="3">
        <v>187093000</v>
      </c>
      <c r="S79" s="3" t="s">
        <v>24</v>
      </c>
    </row>
    <row r="80" spans="1:19" ht="16" x14ac:dyDescent="0.2">
      <c r="A80" s="2" t="s">
        <v>89</v>
      </c>
      <c r="B80" s="3">
        <v>5188000</v>
      </c>
      <c r="C80" s="3">
        <v>2923000</v>
      </c>
      <c r="D80" s="3">
        <v>2637000</v>
      </c>
      <c r="E80" s="3">
        <v>2647000</v>
      </c>
      <c r="F80" s="3">
        <v>2633000</v>
      </c>
      <c r="G80" s="3">
        <v>2643000</v>
      </c>
      <c r="H80" s="3">
        <v>2625000</v>
      </c>
      <c r="I80" s="3">
        <v>7486000</v>
      </c>
      <c r="J80" s="3">
        <v>4150000</v>
      </c>
      <c r="K80" s="3">
        <v>2703000</v>
      </c>
      <c r="L80" s="3">
        <v>4578000</v>
      </c>
      <c r="M80" s="3">
        <v>5329000</v>
      </c>
      <c r="N80" s="3" t="s">
        <v>24</v>
      </c>
      <c r="O80" s="4" t="s">
        <v>24</v>
      </c>
      <c r="P80" s="3">
        <v>4352000</v>
      </c>
      <c r="Q80" s="3">
        <v>3197000</v>
      </c>
      <c r="R80" s="3">
        <v>4084000</v>
      </c>
      <c r="S80" s="3" t="s">
        <v>24</v>
      </c>
    </row>
    <row r="81" spans="1:19" ht="16" x14ac:dyDescent="0.2">
      <c r="A81" s="2" t="s">
        <v>90</v>
      </c>
      <c r="B81" s="3">
        <v>5188000</v>
      </c>
      <c r="C81" s="3">
        <v>2923000</v>
      </c>
      <c r="D81" s="3">
        <v>2637000</v>
      </c>
      <c r="E81" s="3">
        <v>2647000</v>
      </c>
      <c r="F81" s="3">
        <v>2633000</v>
      </c>
      <c r="G81" s="3">
        <v>2643000</v>
      </c>
      <c r="H81" s="3">
        <v>2625000</v>
      </c>
      <c r="I81" s="3">
        <v>7486000</v>
      </c>
      <c r="J81" s="3">
        <v>4150000</v>
      </c>
      <c r="K81" s="3">
        <v>2703000</v>
      </c>
      <c r="L81" s="3">
        <v>4578000</v>
      </c>
      <c r="M81" s="3">
        <v>5329000</v>
      </c>
      <c r="N81" s="3" t="s">
        <v>24</v>
      </c>
      <c r="O81" s="4" t="s">
        <v>24</v>
      </c>
      <c r="P81" s="3">
        <v>4352000</v>
      </c>
      <c r="Q81" s="3">
        <v>3197000</v>
      </c>
      <c r="R81" s="3">
        <v>4084000</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15372000</v>
      </c>
      <c r="C83" s="3">
        <v>6849000</v>
      </c>
      <c r="D83" s="3">
        <v>10516000</v>
      </c>
      <c r="E83" s="3">
        <v>9008000</v>
      </c>
      <c r="F83" s="3">
        <v>9723000</v>
      </c>
      <c r="G83" s="3">
        <v>37006000</v>
      </c>
      <c r="H83" s="3">
        <v>43792000</v>
      </c>
      <c r="I83" s="3">
        <v>34510000</v>
      </c>
      <c r="J83" s="3">
        <v>49336000</v>
      </c>
      <c r="K83" s="3">
        <v>65613000</v>
      </c>
      <c r="L83" s="3">
        <v>75367000</v>
      </c>
      <c r="M83" s="3">
        <v>83782000</v>
      </c>
      <c r="N83" s="3">
        <v>205063000</v>
      </c>
      <c r="O83" s="4">
        <v>205063000</v>
      </c>
      <c r="P83" s="3">
        <v>103802000</v>
      </c>
      <c r="Q83" s="3">
        <v>112160000</v>
      </c>
      <c r="R83" s="3">
        <v>163793000</v>
      </c>
      <c r="S83" s="3">
        <v>205063000</v>
      </c>
    </row>
    <row r="84" spans="1:19" ht="16" x14ac:dyDescent="0.2">
      <c r="A84" s="2" t="s">
        <v>93</v>
      </c>
      <c r="B84" s="3" t="s">
        <v>24</v>
      </c>
      <c r="C84" s="3" t="s">
        <v>24</v>
      </c>
      <c r="D84" s="3" t="s">
        <v>24</v>
      </c>
      <c r="E84" s="3" t="s">
        <v>24</v>
      </c>
      <c r="F84" s="3" t="s">
        <v>24</v>
      </c>
      <c r="G84" s="3" t="s">
        <v>24</v>
      </c>
      <c r="H84" s="3" t="s">
        <v>24</v>
      </c>
      <c r="I84" s="3" t="s">
        <v>24</v>
      </c>
      <c r="J84" s="3" t="s">
        <v>24</v>
      </c>
      <c r="K84" s="3" t="s">
        <v>24</v>
      </c>
      <c r="L84" s="3" t="s">
        <v>24</v>
      </c>
      <c r="M84" s="3" t="s">
        <v>24</v>
      </c>
      <c r="N84" s="3" t="s">
        <v>24</v>
      </c>
      <c r="O84" s="4" t="s">
        <v>24</v>
      </c>
      <c r="P84" s="3" t="s">
        <v>24</v>
      </c>
      <c r="Q84" s="3" t="s">
        <v>24</v>
      </c>
      <c r="R84" s="3" t="s">
        <v>24</v>
      </c>
      <c r="S84" s="3" t="s">
        <v>24</v>
      </c>
    </row>
    <row r="85" spans="1:19" ht="16" x14ac:dyDescent="0.2">
      <c r="A85" s="2" t="s">
        <v>94</v>
      </c>
      <c r="B85" s="3" t="s">
        <v>24</v>
      </c>
      <c r="C85" s="3" t="s">
        <v>24</v>
      </c>
      <c r="D85" s="3" t="s">
        <v>24</v>
      </c>
      <c r="E85" s="3" t="s">
        <v>24</v>
      </c>
      <c r="F85" s="3" t="s">
        <v>24</v>
      </c>
      <c r="G85" s="3" t="s">
        <v>24</v>
      </c>
      <c r="H85" s="3" t="s">
        <v>24</v>
      </c>
      <c r="I85" s="3" t="s">
        <v>24</v>
      </c>
      <c r="J85" s="3" t="s">
        <v>24</v>
      </c>
      <c r="K85" s="3" t="s">
        <v>24</v>
      </c>
      <c r="L85" s="3" t="s">
        <v>24</v>
      </c>
      <c r="M85" s="3" t="s">
        <v>24</v>
      </c>
      <c r="N85" s="3" t="s">
        <v>24</v>
      </c>
      <c r="O85" s="4" t="s">
        <v>24</v>
      </c>
      <c r="P85" s="3" t="s">
        <v>24</v>
      </c>
      <c r="Q85" s="3" t="s">
        <v>24</v>
      </c>
      <c r="R85" s="3" t="s">
        <v>24</v>
      </c>
      <c r="S85" s="3" t="s">
        <v>24</v>
      </c>
    </row>
    <row r="86" spans="1:19" ht="16" x14ac:dyDescent="0.2">
      <c r="A86" s="2" t="s">
        <v>95</v>
      </c>
      <c r="B86" s="3" t="s">
        <v>24</v>
      </c>
      <c r="C86" s="3" t="s">
        <v>24</v>
      </c>
      <c r="D86" s="3" t="s">
        <v>24</v>
      </c>
      <c r="E86" s="3" t="s">
        <v>24</v>
      </c>
      <c r="F86" s="3" t="s">
        <v>24</v>
      </c>
      <c r="G86" s="3" t="s">
        <v>24</v>
      </c>
      <c r="H86" s="3" t="s">
        <v>24</v>
      </c>
      <c r="I86" s="3" t="s">
        <v>24</v>
      </c>
      <c r="J86" s="3" t="s">
        <v>24</v>
      </c>
      <c r="K86" s="3" t="s">
        <v>24</v>
      </c>
      <c r="L86" s="3" t="s">
        <v>24</v>
      </c>
      <c r="M86" s="3" t="s">
        <v>24</v>
      </c>
      <c r="N86" s="3" t="s">
        <v>24</v>
      </c>
      <c r="O86" s="4" t="s">
        <v>24</v>
      </c>
      <c r="P86" s="3" t="s">
        <v>24</v>
      </c>
      <c r="Q86" s="3" t="s">
        <v>24</v>
      </c>
      <c r="R86" s="3" t="s">
        <v>24</v>
      </c>
      <c r="S86" s="3" t="s">
        <v>24</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15372000</v>
      </c>
      <c r="C89" s="3">
        <v>6849000</v>
      </c>
      <c r="D89" s="3">
        <v>10516000</v>
      </c>
      <c r="E89" s="3">
        <v>9008000</v>
      </c>
      <c r="F89" s="3">
        <v>9723000</v>
      </c>
      <c r="G89" s="3">
        <v>37006000</v>
      </c>
      <c r="H89" s="3">
        <v>43792000</v>
      </c>
      <c r="I89" s="3">
        <v>34510000</v>
      </c>
      <c r="J89" s="3">
        <v>49336000</v>
      </c>
      <c r="K89" s="3">
        <v>65613000</v>
      </c>
      <c r="L89" s="3">
        <v>75367000</v>
      </c>
      <c r="M89" s="3">
        <v>83782000</v>
      </c>
      <c r="N89" s="3">
        <v>205063000</v>
      </c>
      <c r="O89" s="4">
        <v>205063000</v>
      </c>
      <c r="P89" s="3">
        <v>103802000</v>
      </c>
      <c r="Q89" s="3">
        <v>112160000</v>
      </c>
      <c r="R89" s="3">
        <v>163793000</v>
      </c>
      <c r="S89" s="3">
        <v>205063000</v>
      </c>
    </row>
    <row r="90" spans="1:19" ht="16" x14ac:dyDescent="0.2">
      <c r="A90" s="2" t="s">
        <v>99</v>
      </c>
      <c r="B90" s="3">
        <v>464620000</v>
      </c>
      <c r="C90" s="3">
        <v>589103000</v>
      </c>
      <c r="D90" s="3">
        <v>632257000</v>
      </c>
      <c r="E90" s="3">
        <v>796325000</v>
      </c>
      <c r="F90" s="3">
        <v>1089809000</v>
      </c>
      <c r="G90" s="3">
        <v>1165600000</v>
      </c>
      <c r="H90" s="3">
        <v>1488592000</v>
      </c>
      <c r="I90" s="3">
        <v>1769505000</v>
      </c>
      <c r="J90" s="3">
        <v>1682594000</v>
      </c>
      <c r="K90" s="3">
        <v>1918646000</v>
      </c>
      <c r="L90" s="3">
        <v>2241964000</v>
      </c>
      <c r="M90" s="3">
        <v>3205077000</v>
      </c>
      <c r="N90" s="3">
        <v>3674729000</v>
      </c>
      <c r="O90" s="4">
        <v>3674729000</v>
      </c>
      <c r="P90" s="3">
        <v>3301283000</v>
      </c>
      <c r="Q90" s="3">
        <v>3074942000</v>
      </c>
      <c r="R90" s="3">
        <v>3192604000</v>
      </c>
      <c r="S90" s="3">
        <v>3674729000</v>
      </c>
    </row>
    <row r="91" spans="1:19" ht="16" x14ac:dyDescent="0.2">
      <c r="A91" s="2" t="s">
        <v>100</v>
      </c>
      <c r="B91" s="3">
        <v>139056000</v>
      </c>
      <c r="C91" s="3">
        <v>207146000</v>
      </c>
      <c r="D91" s="3">
        <v>213026000</v>
      </c>
      <c r="E91" s="3">
        <v>268332000</v>
      </c>
      <c r="F91" s="3">
        <v>360628000</v>
      </c>
      <c r="G91" s="3">
        <v>310029000</v>
      </c>
      <c r="H91" s="3">
        <v>464617000</v>
      </c>
      <c r="I91" s="3">
        <v>593135000</v>
      </c>
      <c r="J91" s="3">
        <v>451728000</v>
      </c>
      <c r="K91" s="3">
        <v>577774000</v>
      </c>
      <c r="L91" s="3">
        <v>803927000</v>
      </c>
      <c r="M91" s="3">
        <v>909565000</v>
      </c>
      <c r="N91" s="3">
        <v>1069862000</v>
      </c>
      <c r="O91" s="4">
        <v>1069862000</v>
      </c>
      <c r="P91" s="3">
        <v>1066957000</v>
      </c>
      <c r="Q91" s="3">
        <v>768541000</v>
      </c>
      <c r="R91" s="3">
        <v>889661000</v>
      </c>
      <c r="S91" s="3">
        <v>1069862000</v>
      </c>
    </row>
    <row r="92" spans="1:19" ht="16" x14ac:dyDescent="0.2">
      <c r="A92" s="2" t="s">
        <v>101</v>
      </c>
      <c r="B92" s="3">
        <v>113340000</v>
      </c>
      <c r="C92" s="3">
        <v>173991000</v>
      </c>
      <c r="D92" s="3">
        <v>172855000</v>
      </c>
      <c r="E92" s="3">
        <v>219354000</v>
      </c>
      <c r="F92" s="3">
        <v>299774000</v>
      </c>
      <c r="G92" s="3">
        <v>249239000</v>
      </c>
      <c r="H92" s="3">
        <v>382585000</v>
      </c>
      <c r="I92" s="3">
        <v>527158000</v>
      </c>
      <c r="J92" s="3">
        <v>360470000</v>
      </c>
      <c r="K92" s="3">
        <v>417673000</v>
      </c>
      <c r="L92" s="3">
        <v>612336000</v>
      </c>
      <c r="M92" s="3">
        <v>655403000</v>
      </c>
      <c r="N92" s="3">
        <v>776831000</v>
      </c>
      <c r="O92" s="4">
        <v>776831000</v>
      </c>
      <c r="P92" s="3">
        <v>785025000</v>
      </c>
      <c r="Q92" s="3">
        <v>559962000</v>
      </c>
      <c r="R92" s="3">
        <v>641839000</v>
      </c>
      <c r="S92" s="3">
        <v>776831000</v>
      </c>
    </row>
    <row r="93" spans="1:19" ht="16" x14ac:dyDescent="0.2">
      <c r="A93" s="2" t="s">
        <v>102</v>
      </c>
      <c r="B93" s="3">
        <v>936000</v>
      </c>
      <c r="C93" s="3">
        <v>2754000</v>
      </c>
      <c r="D93" s="3">
        <v>6049000</v>
      </c>
      <c r="E93" s="3">
        <v>11414000</v>
      </c>
      <c r="F93" s="3">
        <v>14111000</v>
      </c>
      <c r="G93" s="3">
        <v>5172000</v>
      </c>
      <c r="H93" s="3">
        <v>1679000</v>
      </c>
      <c r="I93" s="3">
        <v>7191000</v>
      </c>
      <c r="J93" s="3">
        <v>13021000</v>
      </c>
      <c r="K93" s="3">
        <v>4700000</v>
      </c>
      <c r="L93" s="3">
        <v>12741000</v>
      </c>
      <c r="M93" s="3">
        <v>41743000</v>
      </c>
      <c r="N93" s="3">
        <v>129166000</v>
      </c>
      <c r="O93" s="4">
        <v>129166000</v>
      </c>
      <c r="P93" s="3">
        <v>68411000</v>
      </c>
      <c r="Q93" s="3">
        <v>38713000</v>
      </c>
      <c r="R93" s="3">
        <v>92598000</v>
      </c>
      <c r="S93" s="3">
        <v>129166000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24780000</v>
      </c>
      <c r="C95" s="3">
        <v>30401000</v>
      </c>
      <c r="D95" s="3">
        <v>34122000</v>
      </c>
      <c r="E95" s="3">
        <v>37564000</v>
      </c>
      <c r="F95" s="3">
        <v>46743000</v>
      </c>
      <c r="G95" s="3">
        <v>55618000</v>
      </c>
      <c r="H95" s="3">
        <v>80353000</v>
      </c>
      <c r="I95" s="3">
        <v>58786000</v>
      </c>
      <c r="J95" s="3">
        <v>78237000</v>
      </c>
      <c r="K95" s="3">
        <v>155401000</v>
      </c>
      <c r="L95" s="3">
        <v>178850000</v>
      </c>
      <c r="M95" s="3">
        <v>212419000</v>
      </c>
      <c r="N95" s="3">
        <v>163865000</v>
      </c>
      <c r="O95" s="4">
        <v>163865000</v>
      </c>
      <c r="P95" s="3">
        <v>213521000</v>
      </c>
      <c r="Q95" s="3">
        <v>169866000</v>
      </c>
      <c r="R95" s="3">
        <v>155224000</v>
      </c>
      <c r="S95" s="3">
        <v>163865000</v>
      </c>
    </row>
    <row r="96" spans="1:19" ht="16" x14ac:dyDescent="0.2">
      <c r="A96" s="2" t="s">
        <v>105</v>
      </c>
      <c r="B96" s="3">
        <v>36000</v>
      </c>
      <c r="C96" s="3">
        <v>13362000</v>
      </c>
      <c r="D96" s="3">
        <v>28638000</v>
      </c>
      <c r="E96" s="3">
        <v>42554000</v>
      </c>
      <c r="F96" s="3">
        <v>93479000</v>
      </c>
      <c r="G96" s="3">
        <v>53589000</v>
      </c>
      <c r="H96" s="3">
        <v>68519000</v>
      </c>
      <c r="I96" s="3">
        <v>116181000</v>
      </c>
      <c r="J96" s="3">
        <v>23647000</v>
      </c>
      <c r="K96" s="3">
        <v>23704000</v>
      </c>
      <c r="L96" s="3">
        <v>63490000</v>
      </c>
      <c r="M96" s="3">
        <v>449146000</v>
      </c>
      <c r="N96" s="3">
        <v>170123000</v>
      </c>
      <c r="O96" s="4">
        <v>170123000</v>
      </c>
      <c r="P96" s="3">
        <v>101173000</v>
      </c>
      <c r="Q96" s="3">
        <v>27869000</v>
      </c>
      <c r="R96" s="3">
        <v>53972000</v>
      </c>
      <c r="S96" s="3">
        <v>170123000</v>
      </c>
    </row>
    <row r="97" spans="1:19" ht="16" x14ac:dyDescent="0.2">
      <c r="A97" s="2" t="s">
        <v>106</v>
      </c>
      <c r="B97" s="3">
        <v>555000</v>
      </c>
      <c r="C97" s="3">
        <v>13362000</v>
      </c>
      <c r="D97" s="3">
        <v>28638000</v>
      </c>
      <c r="E97" s="3">
        <v>42554000</v>
      </c>
      <c r="F97" s="3">
        <v>93479000</v>
      </c>
      <c r="G97" s="3">
        <v>53589000</v>
      </c>
      <c r="H97" s="3">
        <v>68519000</v>
      </c>
      <c r="I97" s="3">
        <v>116181000</v>
      </c>
      <c r="J97" s="3">
        <v>23647000</v>
      </c>
      <c r="K97" s="3">
        <v>23704000</v>
      </c>
      <c r="L97" s="3">
        <v>63490000</v>
      </c>
      <c r="M97" s="3">
        <v>449146000</v>
      </c>
      <c r="N97" s="3">
        <v>170123000</v>
      </c>
      <c r="O97" s="4">
        <v>170123000</v>
      </c>
      <c r="P97" s="3">
        <v>101173000</v>
      </c>
      <c r="Q97" s="3">
        <v>27869000</v>
      </c>
      <c r="R97" s="3">
        <v>53972000</v>
      </c>
      <c r="S97" s="3">
        <v>170123000</v>
      </c>
    </row>
    <row r="98" spans="1:19" ht="16" x14ac:dyDescent="0.2">
      <c r="A98" s="2" t="s">
        <v>107</v>
      </c>
      <c r="B98" s="3">
        <v>36000</v>
      </c>
      <c r="C98" s="3" t="s">
        <v>24</v>
      </c>
      <c r="D98" s="3" t="s">
        <v>24</v>
      </c>
      <c r="E98" s="3" t="s">
        <v>24</v>
      </c>
      <c r="F98" s="3" t="s">
        <v>24</v>
      </c>
      <c r="G98" s="3" t="s">
        <v>24</v>
      </c>
      <c r="H98" s="3" t="s">
        <v>24</v>
      </c>
      <c r="I98" s="3" t="s">
        <v>24</v>
      </c>
      <c r="J98" s="3" t="s">
        <v>24</v>
      </c>
      <c r="K98" s="3">
        <v>6310000</v>
      </c>
      <c r="L98" s="3">
        <v>6322000</v>
      </c>
      <c r="M98" s="3">
        <v>7139000</v>
      </c>
      <c r="N98" s="3" t="s">
        <v>24</v>
      </c>
      <c r="O98" s="4" t="s">
        <v>24</v>
      </c>
      <c r="P98" s="3">
        <v>6960000</v>
      </c>
      <c r="Q98" s="3">
        <v>7117000</v>
      </c>
      <c r="R98" s="3">
        <v>7143000</v>
      </c>
      <c r="S98" s="3" t="s">
        <v>24</v>
      </c>
    </row>
    <row r="99" spans="1:19" ht="16" x14ac:dyDescent="0.2">
      <c r="A99" s="2" t="s">
        <v>108</v>
      </c>
      <c r="B99" s="3">
        <v>1555000</v>
      </c>
      <c r="C99" s="3" t="s">
        <v>24</v>
      </c>
      <c r="D99" s="3" t="s">
        <v>24</v>
      </c>
      <c r="E99" s="3" t="s">
        <v>24</v>
      </c>
      <c r="F99" s="3" t="s">
        <v>24</v>
      </c>
      <c r="G99" s="3" t="s">
        <v>24</v>
      </c>
      <c r="H99" s="3" t="s">
        <v>24</v>
      </c>
      <c r="I99" s="3">
        <v>102241000</v>
      </c>
      <c r="J99" s="3">
        <v>130594000</v>
      </c>
      <c r="K99" s="3">
        <v>106157000</v>
      </c>
      <c r="L99" s="3">
        <v>101479000</v>
      </c>
      <c r="M99" s="3">
        <v>111313000</v>
      </c>
      <c r="N99" s="3">
        <v>134667000</v>
      </c>
      <c r="O99" s="4">
        <v>134667000</v>
      </c>
      <c r="P99" s="3">
        <v>185225000</v>
      </c>
      <c r="Q99" s="3">
        <v>120530000</v>
      </c>
      <c r="R99" s="3">
        <v>148747000</v>
      </c>
      <c r="S99" s="3">
        <v>134667000</v>
      </c>
    </row>
    <row r="100" spans="1:19" ht="16" x14ac:dyDescent="0.2">
      <c r="A100" s="2" t="s">
        <v>109</v>
      </c>
      <c r="B100" s="3">
        <v>1000000</v>
      </c>
      <c r="C100" s="3">
        <v>4502000</v>
      </c>
      <c r="D100" s="3">
        <v>4134000</v>
      </c>
      <c r="E100" s="3">
        <v>4185000</v>
      </c>
      <c r="F100" s="3">
        <v>10399000</v>
      </c>
      <c r="G100" s="3">
        <v>19683000</v>
      </c>
      <c r="H100" s="3">
        <v>47587000</v>
      </c>
      <c r="I100" s="3">
        <v>102241000</v>
      </c>
      <c r="J100" s="3">
        <v>130594000</v>
      </c>
      <c r="K100" s="3">
        <v>106157000</v>
      </c>
      <c r="L100" s="3">
        <v>101479000</v>
      </c>
      <c r="M100" s="3">
        <v>111313000</v>
      </c>
      <c r="N100" s="3">
        <v>134667000</v>
      </c>
      <c r="O100" s="4">
        <v>134667000</v>
      </c>
      <c r="P100" s="3">
        <v>185225000</v>
      </c>
      <c r="Q100" s="3">
        <v>120530000</v>
      </c>
      <c r="R100" s="3">
        <v>148747000</v>
      </c>
      <c r="S100" s="3">
        <v>134667000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555000</v>
      </c>
      <c r="C103" s="3">
        <v>-4502000</v>
      </c>
      <c r="D103" s="3">
        <v>-4134000</v>
      </c>
      <c r="E103" s="3">
        <v>-4185000</v>
      </c>
      <c r="F103" s="3">
        <v>-10399000</v>
      </c>
      <c r="G103" s="3">
        <v>-19683000</v>
      </c>
      <c r="H103" s="3">
        <v>-47587000</v>
      </c>
      <c r="I103" s="3" t="s">
        <v>24</v>
      </c>
      <c r="J103" s="3" t="s">
        <v>24</v>
      </c>
      <c r="K103" s="3" t="s">
        <v>24</v>
      </c>
      <c r="L103" s="3" t="s">
        <v>24</v>
      </c>
      <c r="M103" s="3" t="s">
        <v>24</v>
      </c>
      <c r="N103" s="3" t="s">
        <v>24</v>
      </c>
      <c r="O103" s="4" t="s">
        <v>24</v>
      </c>
      <c r="P103" s="3" t="s">
        <v>24</v>
      </c>
      <c r="Q103" s="3" t="s">
        <v>24</v>
      </c>
      <c r="R103" s="3" t="s">
        <v>24</v>
      </c>
      <c r="S103" s="3" t="s">
        <v>24</v>
      </c>
    </row>
    <row r="104" spans="1:19" ht="16" x14ac:dyDescent="0.2">
      <c r="A104" s="2" t="s">
        <v>113</v>
      </c>
      <c r="B104" s="3">
        <v>140647000</v>
      </c>
      <c r="C104" s="3">
        <v>220508000</v>
      </c>
      <c r="D104" s="3">
        <v>241664000</v>
      </c>
      <c r="E104" s="3">
        <v>310886000</v>
      </c>
      <c r="F104" s="3">
        <v>454107000</v>
      </c>
      <c r="G104" s="3">
        <v>363618000</v>
      </c>
      <c r="H104" s="3">
        <v>533136000</v>
      </c>
      <c r="I104" s="3">
        <v>811557000</v>
      </c>
      <c r="J104" s="3">
        <v>605969000</v>
      </c>
      <c r="K104" s="3">
        <v>707635000</v>
      </c>
      <c r="L104" s="3">
        <v>968896000</v>
      </c>
      <c r="M104" s="3">
        <v>1470024000</v>
      </c>
      <c r="N104" s="3">
        <v>1374652000</v>
      </c>
      <c r="O104" s="4">
        <v>1374652000</v>
      </c>
      <c r="P104" s="3">
        <v>1353355000</v>
      </c>
      <c r="Q104" s="3">
        <v>916940000</v>
      </c>
      <c r="R104" s="3">
        <v>1092380000</v>
      </c>
      <c r="S104" s="3">
        <v>1374652000</v>
      </c>
    </row>
    <row r="105" spans="1:19" ht="16" x14ac:dyDescent="0.2">
      <c r="A105" s="2" t="s">
        <v>114</v>
      </c>
      <c r="B105" s="3">
        <v>27646000</v>
      </c>
      <c r="C105" s="3">
        <v>19395000</v>
      </c>
      <c r="D105" s="3">
        <v>6533000</v>
      </c>
      <c r="E105" s="3">
        <v>3733000</v>
      </c>
      <c r="F105" s="3">
        <v>933000</v>
      </c>
      <c r="G105" s="3">
        <v>40000000</v>
      </c>
      <c r="H105" s="3">
        <v>92927000</v>
      </c>
      <c r="I105" s="3">
        <v>0</v>
      </c>
      <c r="J105" s="3">
        <v>0</v>
      </c>
      <c r="K105" s="3">
        <v>5697000</v>
      </c>
      <c r="L105" s="3">
        <v>34700000</v>
      </c>
      <c r="M105" s="3">
        <v>147618000</v>
      </c>
      <c r="N105" s="3">
        <v>120179000</v>
      </c>
      <c r="O105" s="4">
        <v>120179000</v>
      </c>
      <c r="P105" s="3">
        <v>148551000</v>
      </c>
      <c r="Q105" s="3">
        <v>142273000</v>
      </c>
      <c r="R105" s="3">
        <v>133235000</v>
      </c>
      <c r="S105" s="3">
        <v>120179000</v>
      </c>
    </row>
    <row r="106" spans="1:19" ht="16" x14ac:dyDescent="0.2">
      <c r="A106" s="2" t="s">
        <v>115</v>
      </c>
      <c r="B106" s="3">
        <v>27596000</v>
      </c>
      <c r="C106" s="3">
        <v>19395000</v>
      </c>
      <c r="D106" s="3">
        <v>6533000</v>
      </c>
      <c r="E106" s="3">
        <v>3733000</v>
      </c>
      <c r="F106" s="3">
        <v>933000</v>
      </c>
      <c r="G106" s="3">
        <v>40000000</v>
      </c>
      <c r="H106" s="3">
        <v>92927000</v>
      </c>
      <c r="I106" s="3" t="s">
        <v>24</v>
      </c>
      <c r="J106" s="3" t="s">
        <v>24</v>
      </c>
      <c r="K106" s="3">
        <v>5697000</v>
      </c>
      <c r="L106" s="3">
        <v>34700000</v>
      </c>
      <c r="M106" s="3">
        <v>147618000</v>
      </c>
      <c r="N106" s="3">
        <v>120179000</v>
      </c>
      <c r="O106" s="4">
        <v>120179000</v>
      </c>
      <c r="P106" s="3">
        <v>148551000</v>
      </c>
      <c r="Q106" s="3">
        <v>142273000</v>
      </c>
      <c r="R106" s="3">
        <v>133235000</v>
      </c>
      <c r="S106" s="3">
        <v>120179000</v>
      </c>
    </row>
    <row r="107" spans="1:19" ht="16" x14ac:dyDescent="0.2">
      <c r="A107" s="2" t="s">
        <v>116</v>
      </c>
      <c r="B107" s="3">
        <v>50000</v>
      </c>
      <c r="C107" s="3" t="s">
        <v>24</v>
      </c>
      <c r="D107" s="3" t="s">
        <v>24</v>
      </c>
      <c r="E107" s="3" t="s">
        <v>24</v>
      </c>
      <c r="F107" s="3" t="s">
        <v>24</v>
      </c>
      <c r="G107" s="3" t="s">
        <v>24</v>
      </c>
      <c r="H107" s="3" t="s">
        <v>24</v>
      </c>
      <c r="I107" s="3" t="s">
        <v>24</v>
      </c>
      <c r="J107" s="3" t="s">
        <v>24</v>
      </c>
      <c r="K107" s="3">
        <v>18102000</v>
      </c>
      <c r="L107" s="3">
        <v>14539000</v>
      </c>
      <c r="M107" s="3">
        <v>16661000</v>
      </c>
      <c r="N107" s="3" t="s">
        <v>24</v>
      </c>
      <c r="O107" s="4" t="s">
        <v>24</v>
      </c>
      <c r="P107" s="3">
        <v>15218000</v>
      </c>
      <c r="Q107" s="3">
        <v>13924000</v>
      </c>
      <c r="R107" s="3">
        <v>12668000</v>
      </c>
      <c r="S107" s="3" t="s">
        <v>24</v>
      </c>
    </row>
    <row r="108" spans="1:19" ht="16" x14ac:dyDescent="0.2">
      <c r="A108" s="2" t="s">
        <v>117</v>
      </c>
      <c r="B108" s="3">
        <v>9070000</v>
      </c>
      <c r="C108" s="3">
        <v>10849000</v>
      </c>
      <c r="D108" s="3">
        <v>10336000</v>
      </c>
      <c r="E108" s="3">
        <v>12475000</v>
      </c>
      <c r="F108" s="3">
        <v>15684000</v>
      </c>
      <c r="G108" s="3">
        <v>40603000</v>
      </c>
      <c r="H108" s="3">
        <v>62310000</v>
      </c>
      <c r="I108" s="3">
        <v>114296000</v>
      </c>
      <c r="J108" s="3">
        <v>135449000</v>
      </c>
      <c r="K108" s="3">
        <v>139607000</v>
      </c>
      <c r="L108" s="3">
        <v>141970000</v>
      </c>
      <c r="M108" s="3">
        <v>161688000</v>
      </c>
      <c r="N108" s="3">
        <v>207728000</v>
      </c>
      <c r="O108" s="4">
        <v>207728000</v>
      </c>
      <c r="P108" s="3">
        <v>174174000</v>
      </c>
      <c r="Q108" s="3">
        <v>196887000</v>
      </c>
      <c r="R108" s="3">
        <v>198416000</v>
      </c>
      <c r="S108" s="3">
        <v>207728000</v>
      </c>
    </row>
    <row r="109" spans="1:19" ht="16" x14ac:dyDescent="0.2">
      <c r="A109" s="2" t="s">
        <v>118</v>
      </c>
      <c r="B109" s="3" t="s">
        <v>24</v>
      </c>
      <c r="C109" s="3" t="s">
        <v>24</v>
      </c>
      <c r="D109" s="3" t="s">
        <v>24</v>
      </c>
      <c r="E109" s="3" t="s">
        <v>24</v>
      </c>
      <c r="F109" s="3">
        <v>4276000</v>
      </c>
      <c r="G109" s="3">
        <v>21940000</v>
      </c>
      <c r="H109" s="3">
        <v>47548000</v>
      </c>
      <c r="I109" s="3">
        <v>89731000</v>
      </c>
      <c r="J109" s="3">
        <v>109266000</v>
      </c>
      <c r="K109" s="3">
        <v>97612000</v>
      </c>
      <c r="L109" s="3">
        <v>100838000</v>
      </c>
      <c r="M109" s="3">
        <v>122548000</v>
      </c>
      <c r="N109" s="3">
        <v>169781000</v>
      </c>
      <c r="O109" s="4">
        <v>169781000</v>
      </c>
      <c r="P109" s="3">
        <v>134625000</v>
      </c>
      <c r="Q109" s="3">
        <v>159574000</v>
      </c>
      <c r="R109" s="3">
        <v>161176000</v>
      </c>
      <c r="S109" s="3">
        <v>169781000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9070000</v>
      </c>
      <c r="C114" s="3">
        <v>10849000</v>
      </c>
      <c r="D114" s="3">
        <v>10336000</v>
      </c>
      <c r="E114" s="3">
        <v>12475000</v>
      </c>
      <c r="F114" s="3">
        <v>11408000</v>
      </c>
      <c r="G114" s="3">
        <v>18663000</v>
      </c>
      <c r="H114" s="3">
        <v>14762000</v>
      </c>
      <c r="I114" s="3">
        <v>24565000</v>
      </c>
      <c r="J114" s="3">
        <v>26183000</v>
      </c>
      <c r="K114" s="3">
        <v>41995000</v>
      </c>
      <c r="L114" s="3">
        <v>41132000</v>
      </c>
      <c r="M114" s="3">
        <v>39140000</v>
      </c>
      <c r="N114" s="3">
        <v>37947000</v>
      </c>
      <c r="O114" s="4">
        <v>37947000</v>
      </c>
      <c r="P114" s="3">
        <v>39549000</v>
      </c>
      <c r="Q114" s="3">
        <v>37313000</v>
      </c>
      <c r="R114" s="3">
        <v>37240000</v>
      </c>
      <c r="S114" s="3">
        <v>37947000</v>
      </c>
    </row>
    <row r="115" spans="1:19" ht="16" x14ac:dyDescent="0.2">
      <c r="A115" s="2" t="s">
        <v>121</v>
      </c>
      <c r="B115" s="3">
        <v>36716000</v>
      </c>
      <c r="C115" s="3">
        <v>30244000</v>
      </c>
      <c r="D115" s="3">
        <v>16869000</v>
      </c>
      <c r="E115" s="3">
        <v>16208000</v>
      </c>
      <c r="F115" s="3">
        <v>16617000</v>
      </c>
      <c r="G115" s="3">
        <v>80603000</v>
      </c>
      <c r="H115" s="3">
        <v>155237000</v>
      </c>
      <c r="I115" s="3">
        <v>114296000</v>
      </c>
      <c r="J115" s="3">
        <v>135449000</v>
      </c>
      <c r="K115" s="3">
        <v>145304000</v>
      </c>
      <c r="L115" s="3">
        <v>176670000</v>
      </c>
      <c r="M115" s="3">
        <v>309306000</v>
      </c>
      <c r="N115" s="3">
        <v>327907000</v>
      </c>
      <c r="O115" s="4">
        <v>327907000</v>
      </c>
      <c r="P115" s="3">
        <v>322725000</v>
      </c>
      <c r="Q115" s="3">
        <v>339160000</v>
      </c>
      <c r="R115" s="3">
        <v>331651000</v>
      </c>
      <c r="S115" s="3">
        <v>327907000</v>
      </c>
    </row>
    <row r="116" spans="1:19" ht="16" x14ac:dyDescent="0.2">
      <c r="A116" s="2" t="s">
        <v>122</v>
      </c>
      <c r="B116" s="3">
        <v>177363000</v>
      </c>
      <c r="C116" s="3">
        <v>250752000</v>
      </c>
      <c r="D116" s="3">
        <v>258533000</v>
      </c>
      <c r="E116" s="3">
        <v>327094000</v>
      </c>
      <c r="F116" s="3">
        <v>470724000</v>
      </c>
      <c r="G116" s="3">
        <v>444221000</v>
      </c>
      <c r="H116" s="3">
        <v>688373000</v>
      </c>
      <c r="I116" s="3">
        <v>925853000</v>
      </c>
      <c r="J116" s="3">
        <v>741418000</v>
      </c>
      <c r="K116" s="3">
        <v>852939000</v>
      </c>
      <c r="L116" s="3">
        <v>1145566000</v>
      </c>
      <c r="M116" s="3">
        <v>1779330000</v>
      </c>
      <c r="N116" s="3">
        <v>1702559000</v>
      </c>
      <c r="O116" s="4">
        <v>1702559000</v>
      </c>
      <c r="P116" s="3">
        <v>1676080000</v>
      </c>
      <c r="Q116" s="3">
        <v>1256100000</v>
      </c>
      <c r="R116" s="3">
        <v>1424031000</v>
      </c>
      <c r="S116" s="3">
        <v>1702559000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122693000</v>
      </c>
      <c r="C118" s="3">
        <v>143806000</v>
      </c>
      <c r="D118" s="3">
        <v>157712000</v>
      </c>
      <c r="E118" s="3">
        <v>199062000</v>
      </c>
      <c r="F118" s="3">
        <v>247081000</v>
      </c>
      <c r="G118" s="3">
        <v>277339000</v>
      </c>
      <c r="H118" s="3">
        <v>305322000</v>
      </c>
      <c r="I118" s="3">
        <v>331550000</v>
      </c>
      <c r="J118" s="3">
        <v>349683000</v>
      </c>
      <c r="K118" s="3">
        <v>389972000</v>
      </c>
      <c r="L118" s="3">
        <v>438012000</v>
      </c>
      <c r="M118" s="3">
        <v>481741000</v>
      </c>
      <c r="N118" s="3">
        <v>538352000</v>
      </c>
      <c r="O118" s="4">
        <v>538352000</v>
      </c>
      <c r="P118" s="3">
        <v>497183000</v>
      </c>
      <c r="Q118" s="3">
        <v>514559000</v>
      </c>
      <c r="R118" s="3">
        <v>528279000</v>
      </c>
      <c r="S118" s="3">
        <v>538352000</v>
      </c>
    </row>
    <row r="119" spans="1:19" ht="16" x14ac:dyDescent="0.2">
      <c r="A119" s="2" t="s">
        <v>125</v>
      </c>
      <c r="B119" s="3">
        <v>122693000</v>
      </c>
      <c r="C119" s="3">
        <v>143806000</v>
      </c>
      <c r="D119" s="3">
        <v>157712000</v>
      </c>
      <c r="E119" s="3">
        <v>199062000</v>
      </c>
      <c r="F119" s="3">
        <v>247081000</v>
      </c>
      <c r="G119" s="3">
        <v>277339000</v>
      </c>
      <c r="H119" s="3">
        <v>305322000</v>
      </c>
      <c r="I119" s="3">
        <v>331550000</v>
      </c>
      <c r="J119" s="3">
        <v>349683000</v>
      </c>
      <c r="K119" s="3">
        <v>389972000</v>
      </c>
      <c r="L119" s="3">
        <v>438012000</v>
      </c>
      <c r="M119" s="3">
        <v>481741000</v>
      </c>
      <c r="N119" s="3">
        <v>538352000</v>
      </c>
      <c r="O119" s="4">
        <v>538352000</v>
      </c>
      <c r="P119" s="3">
        <v>497183000</v>
      </c>
      <c r="Q119" s="3">
        <v>514559000</v>
      </c>
      <c r="R119" s="3">
        <v>528279000</v>
      </c>
      <c r="S119" s="3">
        <v>538352000</v>
      </c>
    </row>
    <row r="120" spans="1:19" ht="16" x14ac:dyDescent="0.2">
      <c r="A120" s="2" t="s">
        <v>126</v>
      </c>
      <c r="B120" s="3" t="s">
        <v>24</v>
      </c>
      <c r="C120" s="3" t="s">
        <v>24</v>
      </c>
      <c r="D120" s="3" t="s">
        <v>24</v>
      </c>
      <c r="E120" s="3" t="s">
        <v>24</v>
      </c>
      <c r="F120" s="3" t="s">
        <v>24</v>
      </c>
      <c r="G120" s="3" t="s">
        <v>24</v>
      </c>
      <c r="H120" s="3" t="s">
        <v>24</v>
      </c>
      <c r="I120" s="3" t="s">
        <v>24</v>
      </c>
      <c r="J120" s="3" t="s">
        <v>24</v>
      </c>
      <c r="K120" s="3" t="s">
        <v>24</v>
      </c>
      <c r="L120" s="3" t="s">
        <v>24</v>
      </c>
      <c r="M120" s="3" t="s">
        <v>24</v>
      </c>
      <c r="N120" s="3" t="s">
        <v>24</v>
      </c>
      <c r="O120" s="4" t="s">
        <v>24</v>
      </c>
      <c r="P120" s="3" t="s">
        <v>24</v>
      </c>
      <c r="Q120" s="3" t="s">
        <v>24</v>
      </c>
      <c r="R120" s="3" t="s">
        <v>24</v>
      </c>
      <c r="S120" s="3" t="s">
        <v>24</v>
      </c>
    </row>
    <row r="121" spans="1:19" ht="16" x14ac:dyDescent="0.2">
      <c r="A121" s="2" t="s">
        <v>127</v>
      </c>
      <c r="B121" s="3">
        <v>2030000</v>
      </c>
      <c r="C121" s="3">
        <v>2030000</v>
      </c>
      <c r="D121" s="3">
        <v>2030000</v>
      </c>
      <c r="E121" s="3">
        <v>2030000</v>
      </c>
      <c r="F121" s="3">
        <v>2030000</v>
      </c>
      <c r="G121" s="3">
        <v>2030000</v>
      </c>
      <c r="H121" s="3">
        <v>20491000</v>
      </c>
      <c r="I121" s="3">
        <v>20491000</v>
      </c>
      <c r="J121" s="3">
        <v>20491000</v>
      </c>
      <c r="K121" s="3">
        <v>20491000</v>
      </c>
      <c r="L121" s="3" t="s">
        <v>24</v>
      </c>
      <c r="M121" s="3" t="s">
        <v>24</v>
      </c>
      <c r="N121" s="3" t="s">
        <v>24</v>
      </c>
      <c r="O121" s="4" t="s">
        <v>24</v>
      </c>
      <c r="P121" s="3" t="s">
        <v>24</v>
      </c>
      <c r="Q121" s="3" t="s">
        <v>24</v>
      </c>
      <c r="R121" s="3" t="s">
        <v>24</v>
      </c>
      <c r="S121" s="3" t="s">
        <v>24</v>
      </c>
    </row>
    <row r="122" spans="1:19" ht="16" x14ac:dyDescent="0.2">
      <c r="A122" s="2" t="s">
        <v>128</v>
      </c>
      <c r="B122" s="3">
        <v>166798000</v>
      </c>
      <c r="C122" s="3">
        <v>196651000</v>
      </c>
      <c r="D122" s="3">
        <v>217930000</v>
      </c>
      <c r="E122" s="3">
        <v>272087000</v>
      </c>
      <c r="F122" s="3">
        <v>373950000</v>
      </c>
      <c r="G122" s="3">
        <v>445971000</v>
      </c>
      <c r="H122" s="3">
        <v>515295000</v>
      </c>
      <c r="I122" s="3">
        <v>532271000</v>
      </c>
      <c r="J122" s="3">
        <v>611903000</v>
      </c>
      <c r="K122" s="3">
        <v>696211000</v>
      </c>
      <c r="L122" s="3">
        <v>657760000</v>
      </c>
      <c r="M122" s="3">
        <v>942923000</v>
      </c>
      <c r="N122" s="3">
        <v>1433014000</v>
      </c>
      <c r="O122" s="4">
        <v>1433014000</v>
      </c>
      <c r="P122" s="3">
        <v>1127339000</v>
      </c>
      <c r="Q122" s="3">
        <v>1303506000</v>
      </c>
      <c r="R122" s="3">
        <v>1239445000</v>
      </c>
      <c r="S122" s="3">
        <v>1433014000</v>
      </c>
    </row>
    <row r="123" spans="1:19" ht="16" x14ac:dyDescent="0.2">
      <c r="A123" s="2" t="s">
        <v>129</v>
      </c>
      <c r="B123" s="3">
        <v>-204000</v>
      </c>
      <c r="C123" s="3">
        <v>-76000</v>
      </c>
      <c r="D123" s="3">
        <v>-69000</v>
      </c>
      <c r="E123" s="3">
        <v>-63000</v>
      </c>
      <c r="F123" s="3">
        <v>-80000</v>
      </c>
      <c r="G123" s="3">
        <v>-85000</v>
      </c>
      <c r="H123" s="3">
        <v>-77000</v>
      </c>
      <c r="I123" s="3">
        <v>165000</v>
      </c>
      <c r="J123" s="3">
        <v>-80000</v>
      </c>
      <c r="K123" s="3">
        <v>-152000</v>
      </c>
      <c r="L123" s="3">
        <v>453000</v>
      </c>
      <c r="M123" s="3">
        <v>911000</v>
      </c>
      <c r="N123" s="3">
        <v>639000</v>
      </c>
      <c r="O123" s="4">
        <v>639000</v>
      </c>
      <c r="P123" s="3">
        <v>514000</v>
      </c>
      <c r="Q123" s="3">
        <v>612000</v>
      </c>
      <c r="R123" s="3">
        <v>683000</v>
      </c>
      <c r="S123" s="3">
        <v>639000</v>
      </c>
    </row>
    <row r="124" spans="1:19" ht="16" x14ac:dyDescent="0.2">
      <c r="A124" s="2" t="s">
        <v>130</v>
      </c>
      <c r="B124" s="3">
        <v>287257000</v>
      </c>
      <c r="C124" s="3">
        <v>338351000</v>
      </c>
      <c r="D124" s="3">
        <v>373543000</v>
      </c>
      <c r="E124" s="3">
        <v>469056000</v>
      </c>
      <c r="F124" s="3">
        <v>618921000</v>
      </c>
      <c r="G124" s="3">
        <v>721195000</v>
      </c>
      <c r="H124" s="3">
        <v>800049000</v>
      </c>
      <c r="I124" s="3">
        <v>843495000</v>
      </c>
      <c r="J124" s="3">
        <v>941015000</v>
      </c>
      <c r="K124" s="3">
        <v>1065540000</v>
      </c>
      <c r="L124" s="3">
        <v>1096225000</v>
      </c>
      <c r="M124" s="3">
        <v>1425575000</v>
      </c>
      <c r="N124" s="3">
        <v>1972005000</v>
      </c>
      <c r="O124" s="4">
        <v>1972005000</v>
      </c>
      <c r="P124" s="3">
        <v>1625036000</v>
      </c>
      <c r="Q124" s="3">
        <v>1818677000</v>
      </c>
      <c r="R124" s="3">
        <v>1768407000</v>
      </c>
      <c r="S124" s="3">
        <v>1972005000</v>
      </c>
    </row>
    <row r="125" spans="1:19" ht="16" x14ac:dyDescent="0.2">
      <c r="A125" s="2" t="s">
        <v>131</v>
      </c>
      <c r="B125" s="3" t="s">
        <v>24</v>
      </c>
      <c r="C125" s="3" t="s">
        <v>24</v>
      </c>
      <c r="D125" s="3">
        <v>181000</v>
      </c>
      <c r="E125" s="3">
        <v>175000</v>
      </c>
      <c r="F125" s="3">
        <v>164000</v>
      </c>
      <c r="G125" s="3">
        <v>184000</v>
      </c>
      <c r="H125" s="3">
        <v>170000</v>
      </c>
      <c r="I125" s="3">
        <v>157000</v>
      </c>
      <c r="J125" s="3">
        <v>161000</v>
      </c>
      <c r="K125" s="3">
        <v>167000</v>
      </c>
      <c r="L125" s="3">
        <v>173000</v>
      </c>
      <c r="M125" s="3">
        <v>172000</v>
      </c>
      <c r="N125" s="3">
        <v>165000</v>
      </c>
      <c r="O125" s="4">
        <v>165000</v>
      </c>
      <c r="P125" s="3">
        <v>167000</v>
      </c>
      <c r="Q125" s="3">
        <v>165000</v>
      </c>
      <c r="R125" s="3">
        <v>166000</v>
      </c>
      <c r="S125" s="3">
        <v>165000</v>
      </c>
    </row>
    <row r="126" spans="1:19" ht="16" x14ac:dyDescent="0.2">
      <c r="A126" s="2" t="s">
        <v>132</v>
      </c>
      <c r="B126" s="3">
        <v>287257000</v>
      </c>
      <c r="C126" s="3">
        <v>338351000</v>
      </c>
      <c r="D126" s="3">
        <v>373724000</v>
      </c>
      <c r="E126" s="3">
        <v>469231000</v>
      </c>
      <c r="F126" s="3">
        <v>619085000</v>
      </c>
      <c r="G126" s="3">
        <v>721379000</v>
      </c>
      <c r="H126" s="3">
        <v>800219000</v>
      </c>
      <c r="I126" s="3">
        <v>843652000</v>
      </c>
      <c r="J126" s="3">
        <v>941176000</v>
      </c>
      <c r="K126" s="3">
        <v>1065707000</v>
      </c>
      <c r="L126" s="3">
        <v>1096398000</v>
      </c>
      <c r="M126" s="3">
        <v>1425747000</v>
      </c>
      <c r="N126" s="3">
        <v>1972170000</v>
      </c>
      <c r="O126" s="4">
        <v>1972170000</v>
      </c>
      <c r="P126" s="3">
        <v>1625203000</v>
      </c>
      <c r="Q126" s="3">
        <v>1818842000</v>
      </c>
      <c r="R126" s="3">
        <v>1768573000</v>
      </c>
      <c r="S126" s="3">
        <v>1972170000</v>
      </c>
    </row>
    <row r="127" spans="1:19" ht="16" x14ac:dyDescent="0.2">
      <c r="A127" s="2" t="s">
        <v>133</v>
      </c>
      <c r="B127" s="3">
        <v>464620000</v>
      </c>
      <c r="C127" s="3">
        <v>589103000</v>
      </c>
      <c r="D127" s="3">
        <v>632257000</v>
      </c>
      <c r="E127" s="3">
        <v>796325000</v>
      </c>
      <c r="F127" s="3">
        <v>1089809000</v>
      </c>
      <c r="G127" s="3">
        <v>1165600000</v>
      </c>
      <c r="H127" s="3">
        <v>1488592000</v>
      </c>
      <c r="I127" s="3">
        <v>1769505000</v>
      </c>
      <c r="J127" s="3">
        <v>1682594000</v>
      </c>
      <c r="K127" s="3">
        <v>1918646000</v>
      </c>
      <c r="L127" s="3">
        <v>2241964000</v>
      </c>
      <c r="M127" s="3">
        <v>3205077000</v>
      </c>
      <c r="N127" s="3">
        <v>3674729000</v>
      </c>
      <c r="O127" s="4">
        <v>3674729000</v>
      </c>
      <c r="P127" s="3">
        <v>3301283000</v>
      </c>
      <c r="Q127" s="3">
        <v>3074942000</v>
      </c>
      <c r="R127" s="3">
        <v>3192604000</v>
      </c>
      <c r="S127" s="3">
        <v>3674729000</v>
      </c>
    </row>
    <row r="128" spans="1:19" ht="16" x14ac:dyDescent="0.2">
      <c r="A128" s="28" t="s">
        <v>134</v>
      </c>
      <c r="B128" s="26">
        <v>40282534</v>
      </c>
      <c r="C128" s="26">
        <v>41589388</v>
      </c>
      <c r="D128" s="26">
        <v>42299472</v>
      </c>
      <c r="E128" s="26">
        <v>45294908</v>
      </c>
      <c r="F128" s="26">
        <v>47428716</v>
      </c>
      <c r="G128" s="26">
        <v>48554689</v>
      </c>
      <c r="H128" s="26">
        <v>48940402</v>
      </c>
      <c r="I128" s="26">
        <v>49704533</v>
      </c>
      <c r="J128" s="26">
        <v>49956288</v>
      </c>
      <c r="K128" s="26">
        <v>52408703</v>
      </c>
      <c r="L128" s="26">
        <v>50582078</v>
      </c>
      <c r="M128" s="26">
        <v>52311000</v>
      </c>
      <c r="N128" s="26">
        <v>52488494</v>
      </c>
      <c r="O128" s="27">
        <v>52488494</v>
      </c>
      <c r="P128" s="26">
        <v>52851000</v>
      </c>
      <c r="Q128" s="26">
        <v>53400000</v>
      </c>
      <c r="R128" s="26">
        <v>52484000</v>
      </c>
      <c r="S128" s="26">
        <v>52488494</v>
      </c>
    </row>
    <row r="129" spans="1:19" ht="16" x14ac:dyDescent="0.2">
      <c r="A129" s="13" t="s">
        <v>197</v>
      </c>
      <c r="B129" s="10"/>
      <c r="C129" s="19">
        <f>(C128/B128)-1</f>
        <v>3.2442199390932069E-2</v>
      </c>
      <c r="D129" s="19">
        <f>(D128/C128)-1</f>
        <v>1.7073682353777375E-2</v>
      </c>
      <c r="E129" s="19">
        <f>(E128/D128)-1</f>
        <v>7.0814973766102796E-2</v>
      </c>
      <c r="F129" s="19">
        <f t="shared" ref="F129:N129" si="6">(F128/E128)-1</f>
        <v>4.7109224727865717E-2</v>
      </c>
      <c r="G129" s="19">
        <f t="shared" si="6"/>
        <v>2.3740322213234633E-2</v>
      </c>
      <c r="H129" s="19">
        <f t="shared" si="6"/>
        <v>7.9438877674615771E-3</v>
      </c>
      <c r="I129" s="19">
        <f t="shared" si="6"/>
        <v>1.5613500681911141E-2</v>
      </c>
      <c r="J129" s="19">
        <f t="shared" si="6"/>
        <v>5.0650309902318114E-3</v>
      </c>
      <c r="K129" s="19">
        <f t="shared" si="6"/>
        <v>4.9091217505992546E-2</v>
      </c>
      <c r="L129" s="19">
        <f t="shared" si="6"/>
        <v>-3.4853466990015014E-2</v>
      </c>
      <c r="M129" s="19">
        <f t="shared" si="6"/>
        <v>3.4180525363153302E-2</v>
      </c>
      <c r="N129" s="19">
        <f t="shared" si="6"/>
        <v>3.3930530863488517E-3</v>
      </c>
      <c r="O129" s="19">
        <f>(O128/N128)-1</f>
        <v>0</v>
      </c>
      <c r="P129" s="19"/>
      <c r="Q129" s="19">
        <f>(Q128/P128)-1</f>
        <v>1.0387693704944079E-2</v>
      </c>
      <c r="R129" s="19">
        <f>(R128/Q128)-1</f>
        <v>-1.7153558052434459E-2</v>
      </c>
      <c r="S129" s="19">
        <f>(S128/R128)-1</f>
        <v>8.562609557194456E-5</v>
      </c>
    </row>
    <row r="130" spans="1:19" ht="16" x14ac:dyDescent="0.2">
      <c r="A130" s="2" t="s">
        <v>135</v>
      </c>
      <c r="B130" s="3">
        <v>86000</v>
      </c>
      <c r="C130" s="3" t="s">
        <v>24</v>
      </c>
      <c r="D130" s="3" t="s">
        <v>24</v>
      </c>
      <c r="E130" s="3" t="s">
        <v>24</v>
      </c>
      <c r="F130" s="3" t="s">
        <v>24</v>
      </c>
      <c r="G130" s="3" t="s">
        <v>24</v>
      </c>
      <c r="H130" s="3" t="s">
        <v>24</v>
      </c>
      <c r="I130" s="3" t="s">
        <v>24</v>
      </c>
      <c r="J130" s="3" t="s">
        <v>24</v>
      </c>
      <c r="K130" s="3">
        <v>24412000</v>
      </c>
      <c r="L130" s="3">
        <v>20861000</v>
      </c>
      <c r="M130" s="3">
        <v>23800000</v>
      </c>
      <c r="N130" s="3" t="s">
        <v>24</v>
      </c>
      <c r="O130" s="4" t="s">
        <v>24</v>
      </c>
      <c r="P130" s="3">
        <v>22178000</v>
      </c>
      <c r="Q130" s="3">
        <v>21041000</v>
      </c>
      <c r="R130" s="3">
        <v>19811000</v>
      </c>
      <c r="S130" s="3" t="s">
        <v>24</v>
      </c>
    </row>
    <row r="131" spans="1:19" ht="16" x14ac:dyDescent="0.2">
      <c r="A131" s="2" t="s">
        <v>136</v>
      </c>
      <c r="B131" s="3">
        <v>-41792000</v>
      </c>
      <c r="C131" s="3">
        <v>-48069000</v>
      </c>
      <c r="D131" s="3">
        <v>-57867000</v>
      </c>
      <c r="E131" s="3">
        <v>-50585000</v>
      </c>
      <c r="F131" s="3">
        <v>-1030000</v>
      </c>
      <c r="G131" s="3">
        <v>-87375000</v>
      </c>
      <c r="H131" s="3">
        <v>48250000</v>
      </c>
      <c r="I131" s="3">
        <v>804000</v>
      </c>
      <c r="J131" s="3">
        <v>-224517000</v>
      </c>
      <c r="K131" s="3">
        <v>-181132000</v>
      </c>
      <c r="L131" s="3">
        <v>-134076000</v>
      </c>
      <c r="M131" s="3">
        <v>329367000</v>
      </c>
      <c r="N131" s="3">
        <v>-150157000</v>
      </c>
      <c r="O131" s="4">
        <v>-150157000</v>
      </c>
      <c r="P131" s="3">
        <v>11456000</v>
      </c>
      <c r="Q131" s="3">
        <v>-134453000</v>
      </c>
      <c r="R131" s="3">
        <v>-175594000</v>
      </c>
      <c r="S131" s="3">
        <v>-150157000</v>
      </c>
    </row>
    <row r="132" spans="1:19" ht="16" x14ac:dyDescent="0.2">
      <c r="A132" s="2" t="s">
        <v>137</v>
      </c>
      <c r="B132" s="5">
        <v>-14.55</v>
      </c>
      <c r="C132" s="5">
        <v>-14.21</v>
      </c>
      <c r="D132" s="5">
        <v>-15.48</v>
      </c>
      <c r="E132" s="5">
        <v>-10.78</v>
      </c>
      <c r="F132" s="5">
        <v>-0.17</v>
      </c>
      <c r="G132" s="5">
        <v>-12.11</v>
      </c>
      <c r="H132" s="5">
        <v>6.03</v>
      </c>
      <c r="I132" s="5">
        <v>0.1</v>
      </c>
      <c r="J132" s="5">
        <v>-23.85</v>
      </c>
      <c r="K132" s="3">
        <v>-17</v>
      </c>
      <c r="L132" s="5">
        <v>-12.23</v>
      </c>
      <c r="M132" s="5">
        <v>23.1</v>
      </c>
      <c r="N132" s="5">
        <v>-7.61</v>
      </c>
      <c r="O132" s="6">
        <v>-7.61</v>
      </c>
      <c r="P132" s="5">
        <v>0.7</v>
      </c>
      <c r="Q132" s="5">
        <v>-7.39</v>
      </c>
      <c r="R132" s="5">
        <v>-9.93</v>
      </c>
      <c r="S132" s="5">
        <v>-7.61</v>
      </c>
    </row>
    <row r="133" spans="1:19" ht="16" x14ac:dyDescent="0.2">
      <c r="A133" s="2" t="s">
        <v>138</v>
      </c>
      <c r="B133" s="5">
        <v>61.83</v>
      </c>
      <c r="C133" s="5">
        <v>57.43</v>
      </c>
      <c r="D133" s="5">
        <v>59.11</v>
      </c>
      <c r="E133" s="5">
        <v>58.92</v>
      </c>
      <c r="F133" s="5">
        <v>56.81</v>
      </c>
      <c r="G133" s="5">
        <v>61.89</v>
      </c>
      <c r="H133" s="5">
        <v>53.76</v>
      </c>
      <c r="I133" s="5">
        <v>47.68</v>
      </c>
      <c r="J133" s="5">
        <v>55.94</v>
      </c>
      <c r="K133" s="5">
        <v>55.54</v>
      </c>
      <c r="L133" s="5">
        <v>48.9</v>
      </c>
      <c r="M133" s="5">
        <v>44.48</v>
      </c>
      <c r="N133" s="5">
        <v>53.67</v>
      </c>
      <c r="O133" s="6">
        <v>53.67</v>
      </c>
      <c r="P133" s="5">
        <v>49.23</v>
      </c>
      <c r="Q133" s="5">
        <v>59.15</v>
      </c>
      <c r="R133" s="5">
        <v>55.4</v>
      </c>
      <c r="S133" s="5">
        <v>53.67</v>
      </c>
    </row>
    <row r="134" spans="1:19" ht="16" x14ac:dyDescent="0.2">
      <c r="A134" s="2" t="s">
        <v>139</v>
      </c>
      <c r="B134" s="5">
        <v>2.63</v>
      </c>
      <c r="C134" s="5">
        <v>2.19</v>
      </c>
      <c r="D134" s="5">
        <v>2.16</v>
      </c>
      <c r="E134" s="5">
        <v>2.1</v>
      </c>
      <c r="F134" s="5">
        <v>2.0099999999999998</v>
      </c>
      <c r="G134" s="5">
        <v>2.58</v>
      </c>
      <c r="H134" s="5">
        <v>2.34</v>
      </c>
      <c r="I134" s="5">
        <v>1.89</v>
      </c>
      <c r="J134" s="5">
        <v>2.35</v>
      </c>
      <c r="K134" s="5">
        <v>2.25</v>
      </c>
      <c r="L134" s="5">
        <v>1.93</v>
      </c>
      <c r="M134" s="5">
        <v>1.91</v>
      </c>
      <c r="N134" s="5">
        <v>2.31</v>
      </c>
      <c r="O134" s="6">
        <v>2.31</v>
      </c>
      <c r="P134" s="5">
        <v>2.13</v>
      </c>
      <c r="Q134" s="5">
        <v>2.89</v>
      </c>
      <c r="R134" s="5">
        <v>2.4900000000000002</v>
      </c>
      <c r="S134" s="5">
        <v>2.31</v>
      </c>
    </row>
    <row r="135" spans="1:19" ht="16" x14ac:dyDescent="0.2">
      <c r="A135" s="2" t="s">
        <v>140</v>
      </c>
      <c r="B135" s="5">
        <v>61.39</v>
      </c>
      <c r="C135" s="5">
        <v>78.37</v>
      </c>
      <c r="D135" s="5">
        <v>71.489999999999995</v>
      </c>
      <c r="E135" s="5">
        <v>73.900000000000006</v>
      </c>
      <c r="F135" s="5">
        <v>82.09</v>
      </c>
      <c r="G135" s="5">
        <v>85.17</v>
      </c>
      <c r="H135" s="5">
        <v>98.01</v>
      </c>
      <c r="I135" s="5">
        <v>90.76</v>
      </c>
      <c r="J135" s="5">
        <v>79.180000000000007</v>
      </c>
      <c r="K135" s="5">
        <v>94.87</v>
      </c>
      <c r="L135" s="5">
        <v>100.24</v>
      </c>
      <c r="M135" s="5">
        <v>105.77</v>
      </c>
      <c r="N135" s="5">
        <v>98.73</v>
      </c>
      <c r="O135" s="6">
        <v>98.73</v>
      </c>
      <c r="P135" s="5">
        <v>98.39</v>
      </c>
      <c r="Q135" s="5">
        <v>87.09</v>
      </c>
      <c r="R135" s="5">
        <v>95.06</v>
      </c>
      <c r="S135" s="5">
        <v>98.73</v>
      </c>
    </row>
    <row r="136" spans="1:19" ht="16" x14ac:dyDescent="0.2">
      <c r="A136" s="2" t="s">
        <v>141</v>
      </c>
      <c r="B136" s="3">
        <v>1239</v>
      </c>
      <c r="C136" s="3">
        <v>1472</v>
      </c>
      <c r="D136" s="3">
        <v>1564</v>
      </c>
      <c r="E136" s="3">
        <v>1837</v>
      </c>
      <c r="F136" s="3">
        <v>2247</v>
      </c>
      <c r="G136" s="3">
        <v>2655</v>
      </c>
      <c r="H136" s="3">
        <v>2996</v>
      </c>
      <c r="I136" s="3">
        <v>2996</v>
      </c>
      <c r="J136" s="3">
        <v>3670</v>
      </c>
      <c r="K136" s="3">
        <v>3987</v>
      </c>
      <c r="L136" s="3">
        <v>4155</v>
      </c>
      <c r="M136" s="3">
        <v>4607</v>
      </c>
      <c r="N136" s="3">
        <v>4607</v>
      </c>
      <c r="O136" s="4">
        <v>4607</v>
      </c>
      <c r="P136" s="3">
        <v>4607</v>
      </c>
      <c r="Q136" s="3">
        <v>4607</v>
      </c>
      <c r="R136" s="3">
        <v>4607</v>
      </c>
      <c r="S136" s="3">
        <v>4607</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40213000</v>
      </c>
      <c r="C139" s="3">
        <v>29853000</v>
      </c>
      <c r="D139" s="3">
        <v>21279000</v>
      </c>
      <c r="E139" s="3">
        <v>54157000</v>
      </c>
      <c r="F139" s="3">
        <v>101863000</v>
      </c>
      <c r="G139" s="3">
        <v>72021000</v>
      </c>
      <c r="H139" s="3">
        <v>69324000</v>
      </c>
      <c r="I139" s="3">
        <v>46165000</v>
      </c>
      <c r="J139" s="3">
        <v>71918000</v>
      </c>
      <c r="K139" s="3">
        <v>84308000</v>
      </c>
      <c r="L139" s="3">
        <v>111865000</v>
      </c>
      <c r="M139" s="3">
        <v>285163000</v>
      </c>
      <c r="N139" s="3">
        <v>639998000</v>
      </c>
      <c r="O139" s="4">
        <v>639998000</v>
      </c>
      <c r="P139" s="3">
        <v>184416000</v>
      </c>
      <c r="Q139" s="3">
        <v>176167000</v>
      </c>
      <c r="R139" s="3">
        <v>85846000</v>
      </c>
      <c r="S139" s="3">
        <v>193569000</v>
      </c>
    </row>
    <row r="140" spans="1:19" ht="16" x14ac:dyDescent="0.2">
      <c r="A140" s="2" t="s">
        <v>143</v>
      </c>
      <c r="B140" s="3">
        <v>5453000</v>
      </c>
      <c r="C140" s="3">
        <v>7071000</v>
      </c>
      <c r="D140" s="3">
        <v>7835000</v>
      </c>
      <c r="E140" s="3">
        <v>6364000</v>
      </c>
      <c r="F140" s="3">
        <v>8133000</v>
      </c>
      <c r="G140" s="3">
        <v>13282000</v>
      </c>
      <c r="H140" s="3">
        <v>15926000</v>
      </c>
      <c r="I140" s="3">
        <v>21846000</v>
      </c>
      <c r="J140" s="3">
        <v>24202000</v>
      </c>
      <c r="K140" s="3">
        <v>28472000</v>
      </c>
      <c r="L140" s="3">
        <v>28185000</v>
      </c>
      <c r="M140" s="3">
        <v>32471000</v>
      </c>
      <c r="N140" s="3" t="s">
        <v>24</v>
      </c>
      <c r="O140" s="4">
        <v>25932000</v>
      </c>
      <c r="P140" s="3">
        <v>8547000</v>
      </c>
      <c r="Q140" s="3">
        <v>8649000</v>
      </c>
      <c r="R140" s="3">
        <v>8736000</v>
      </c>
      <c r="S140" s="3" t="s">
        <v>24</v>
      </c>
    </row>
    <row r="141" spans="1:19" ht="16" x14ac:dyDescent="0.2">
      <c r="A141" s="2" t="s">
        <v>144</v>
      </c>
      <c r="B141" s="3">
        <v>17705000</v>
      </c>
      <c r="C141" s="3">
        <v>13864000</v>
      </c>
      <c r="D141" s="3">
        <v>13987000</v>
      </c>
      <c r="E141" s="3">
        <v>11767000</v>
      </c>
      <c r="F141" s="3">
        <v>11821000</v>
      </c>
      <c r="G141" s="3">
        <v>16501000</v>
      </c>
      <c r="H141" s="3">
        <v>26974000</v>
      </c>
      <c r="I141" s="3">
        <v>52466000</v>
      </c>
      <c r="J141" s="3">
        <v>49890000</v>
      </c>
      <c r="K141" s="3">
        <v>21679000</v>
      </c>
      <c r="L141" s="3">
        <v>27409000</v>
      </c>
      <c r="M141" s="3">
        <v>25664000</v>
      </c>
      <c r="N141" s="3">
        <v>23582000</v>
      </c>
      <c r="O141" s="4">
        <v>-208353000</v>
      </c>
      <c r="P141" s="3">
        <v>-6974000</v>
      </c>
      <c r="Q141" s="3">
        <v>31777000</v>
      </c>
      <c r="R141" s="3">
        <v>-30248000</v>
      </c>
      <c r="S141" s="3">
        <v>-202908000</v>
      </c>
    </row>
    <row r="142" spans="1:19" ht="16" x14ac:dyDescent="0.2">
      <c r="A142" s="28" t="s">
        <v>145</v>
      </c>
      <c r="B142" s="26">
        <v>8056000</v>
      </c>
      <c r="C142" s="26">
        <v>10252000</v>
      </c>
      <c r="D142" s="26">
        <v>11361000</v>
      </c>
      <c r="E142" s="26">
        <v>11062000</v>
      </c>
      <c r="F142" s="26">
        <v>13699000</v>
      </c>
      <c r="G142" s="26">
        <v>16131000</v>
      </c>
      <c r="H142" s="26">
        <v>19192000</v>
      </c>
      <c r="I142" s="26">
        <v>24656000</v>
      </c>
      <c r="J142" s="26">
        <v>21184000</v>
      </c>
      <c r="K142" s="26">
        <v>20189000</v>
      </c>
      <c r="L142" s="26">
        <v>28549000</v>
      </c>
      <c r="M142" s="26">
        <v>32816000</v>
      </c>
      <c r="N142" s="26">
        <v>23582000</v>
      </c>
      <c r="O142" s="27">
        <v>41647000</v>
      </c>
      <c r="P142" s="26">
        <v>11014000</v>
      </c>
      <c r="Q142" s="26">
        <v>16981000</v>
      </c>
      <c r="R142" s="26">
        <v>13652000</v>
      </c>
      <c r="S142" s="26" t="s">
        <v>24</v>
      </c>
    </row>
    <row r="143" spans="1:19" ht="16" x14ac:dyDescent="0.2">
      <c r="A143" s="12" t="s">
        <v>198</v>
      </c>
      <c r="B143" s="19">
        <f t="shared" ref="B143:S143" si="7">B142/B2</f>
        <v>8.5467365173533972E-3</v>
      </c>
      <c r="C143" s="19">
        <f t="shared" si="7"/>
        <v>1.0111710133606346E-2</v>
      </c>
      <c r="D143" s="19">
        <f t="shared" si="7"/>
        <v>9.7723904380071242E-3</v>
      </c>
      <c r="E143" s="19">
        <f t="shared" si="7"/>
        <v>7.5395208021799319E-3</v>
      </c>
      <c r="F143" s="19">
        <f t="shared" si="7"/>
        <v>6.8799264748349576E-3</v>
      </c>
      <c r="G143" s="19">
        <f t="shared" si="7"/>
        <v>7.2807350513839986E-3</v>
      </c>
      <c r="H143" s="19">
        <f t="shared" si="7"/>
        <v>7.5860256174614558E-3</v>
      </c>
      <c r="I143" s="19">
        <f t="shared" si="7"/>
        <v>7.3370208886079777E-3</v>
      </c>
      <c r="J143" s="19">
        <f t="shared" si="7"/>
        <v>6.0519489423944963E-3</v>
      </c>
      <c r="K143" s="19">
        <f t="shared" si="7"/>
        <v>6.045912278721078E-3</v>
      </c>
      <c r="L143" s="19">
        <f t="shared" si="7"/>
        <v>8.0251935249739843E-3</v>
      </c>
      <c r="M143" s="19">
        <f t="shared" si="7"/>
        <v>6.3155070755965192E-3</v>
      </c>
      <c r="N143" s="19">
        <f t="shared" si="7"/>
        <v>3.3104596881132009E-3</v>
      </c>
      <c r="O143" s="19">
        <f t="shared" si="7"/>
        <v>5.8464385815813107E-3</v>
      </c>
      <c r="P143" s="19">
        <f t="shared" si="7"/>
        <v>5.9466668106450413E-3</v>
      </c>
      <c r="Q143" s="19">
        <f t="shared" si="7"/>
        <v>9.4171734060930733E-3</v>
      </c>
      <c r="R143" s="19">
        <f t="shared" si="7"/>
        <v>1.0638231553749097E-2</v>
      </c>
      <c r="S143" s="19" t="e">
        <f t="shared" si="7"/>
        <v>#VALUE!</v>
      </c>
    </row>
    <row r="144" spans="1:19" ht="16" x14ac:dyDescent="0.2">
      <c r="A144" s="2" t="s">
        <v>146</v>
      </c>
      <c r="B144" s="3">
        <v>1539000</v>
      </c>
      <c r="C144" s="3">
        <v>-3137000</v>
      </c>
      <c r="D144" s="3">
        <v>-7010000</v>
      </c>
      <c r="E144" s="3">
        <v>63000</v>
      </c>
      <c r="F144" s="3">
        <v>632000</v>
      </c>
      <c r="G144" s="3">
        <v>-6133000</v>
      </c>
      <c r="H144" s="3">
        <v>-801000</v>
      </c>
      <c r="I144" s="3">
        <v>13570000</v>
      </c>
      <c r="J144" s="3">
        <v>-17100000</v>
      </c>
      <c r="K144" s="3">
        <v>-13772000</v>
      </c>
      <c r="L144" s="3">
        <v>-8390000</v>
      </c>
      <c r="M144" s="3">
        <v>-6817000</v>
      </c>
      <c r="N144" s="3" t="s">
        <v>24</v>
      </c>
      <c r="O144" s="4">
        <v>-78629000</v>
      </c>
      <c r="P144" s="3">
        <v>-19226000</v>
      </c>
      <c r="Q144" s="3">
        <v>-6586000</v>
      </c>
      <c r="R144" s="3">
        <v>-52817000</v>
      </c>
      <c r="S144" s="3" t="s">
        <v>24</v>
      </c>
    </row>
    <row r="145" spans="1:19" ht="16" x14ac:dyDescent="0.2">
      <c r="A145" s="2" t="s">
        <v>147</v>
      </c>
      <c r="B145" s="3" t="s">
        <v>24</v>
      </c>
      <c r="C145" s="3" t="s">
        <v>24</v>
      </c>
      <c r="D145" s="3" t="s">
        <v>24</v>
      </c>
      <c r="E145" s="3" t="s">
        <v>24</v>
      </c>
      <c r="F145" s="3" t="s">
        <v>24</v>
      </c>
      <c r="G145" s="3" t="s">
        <v>24</v>
      </c>
      <c r="H145" s="3" t="s">
        <v>24</v>
      </c>
      <c r="I145" s="3" t="s">
        <v>24</v>
      </c>
      <c r="J145" s="3">
        <v>2661000</v>
      </c>
      <c r="K145" s="3" t="s">
        <v>24</v>
      </c>
      <c r="L145" s="3" t="s">
        <v>24</v>
      </c>
      <c r="M145" s="3" t="s">
        <v>24</v>
      </c>
      <c r="N145" s="3" t="s">
        <v>24</v>
      </c>
      <c r="O145" s="4" t="s">
        <v>24</v>
      </c>
      <c r="P145" s="3" t="s">
        <v>24</v>
      </c>
      <c r="Q145" s="3" t="s">
        <v>24</v>
      </c>
      <c r="R145" s="3" t="s">
        <v>24</v>
      </c>
      <c r="S145" s="3" t="s">
        <v>24</v>
      </c>
    </row>
    <row r="146" spans="1:19" ht="16" x14ac:dyDescent="0.2">
      <c r="A146" s="2" t="s">
        <v>148</v>
      </c>
      <c r="B146" s="3">
        <v>8110000</v>
      </c>
      <c r="C146" s="3">
        <v>6749000</v>
      </c>
      <c r="D146" s="3">
        <v>9636000</v>
      </c>
      <c r="E146" s="3">
        <v>642000</v>
      </c>
      <c r="F146" s="3">
        <v>-2510000</v>
      </c>
      <c r="G146" s="3">
        <v>6503000</v>
      </c>
      <c r="H146" s="3">
        <v>8583000</v>
      </c>
      <c r="I146" s="3">
        <v>14240000</v>
      </c>
      <c r="J146" s="3">
        <v>43145000</v>
      </c>
      <c r="K146" s="3">
        <v>15262000</v>
      </c>
      <c r="L146" s="3">
        <v>7250000</v>
      </c>
      <c r="M146" s="3">
        <v>-335000</v>
      </c>
      <c r="N146" s="3">
        <v>23582000</v>
      </c>
      <c r="O146" s="4">
        <v>-171371000</v>
      </c>
      <c r="P146" s="3">
        <v>1238000</v>
      </c>
      <c r="Q146" s="3">
        <v>21382000</v>
      </c>
      <c r="R146" s="3">
        <v>8917000</v>
      </c>
      <c r="S146" s="3">
        <v>-202908000</v>
      </c>
    </row>
    <row r="147" spans="1:19" ht="16" x14ac:dyDescent="0.2">
      <c r="A147" s="2" t="s">
        <v>149</v>
      </c>
      <c r="B147" s="3">
        <v>-54891000</v>
      </c>
      <c r="C147" s="3">
        <v>-34321000</v>
      </c>
      <c r="D147" s="3">
        <v>-29518000</v>
      </c>
      <c r="E147" s="3">
        <v>-65750000</v>
      </c>
      <c r="F147" s="3">
        <v>-166453000</v>
      </c>
      <c r="G147" s="3">
        <v>5705000</v>
      </c>
      <c r="H147" s="3">
        <v>-208668000</v>
      </c>
      <c r="I147" s="3">
        <v>-36130000</v>
      </c>
      <c r="J147" s="3">
        <v>116544000</v>
      </c>
      <c r="K147" s="3">
        <v>-164793000</v>
      </c>
      <c r="L147" s="3">
        <v>-44504000</v>
      </c>
      <c r="M147" s="3">
        <v>-784099000</v>
      </c>
      <c r="N147" s="3" t="s">
        <v>24</v>
      </c>
      <c r="O147" s="4">
        <v>206003000</v>
      </c>
      <c r="P147" s="3">
        <v>127598000</v>
      </c>
      <c r="Q147" s="3">
        <v>-55506000</v>
      </c>
      <c r="R147" s="3">
        <v>133911000</v>
      </c>
      <c r="S147" s="3" t="s">
        <v>24</v>
      </c>
    </row>
    <row r="148" spans="1:19" ht="16" x14ac:dyDescent="0.2">
      <c r="A148" s="2" t="s">
        <v>150</v>
      </c>
      <c r="B148" s="3">
        <v>-19165000</v>
      </c>
      <c r="C148" s="3">
        <v>-17226000</v>
      </c>
      <c r="D148" s="3">
        <v>-48255000</v>
      </c>
      <c r="E148" s="3">
        <v>-64874000</v>
      </c>
      <c r="F148" s="3">
        <v>-110182000</v>
      </c>
      <c r="G148" s="3">
        <v>32375000</v>
      </c>
      <c r="H148" s="3">
        <v>-195146000</v>
      </c>
      <c r="I148" s="3">
        <v>-127082000</v>
      </c>
      <c r="J148" s="3">
        <v>85027000</v>
      </c>
      <c r="K148" s="3">
        <v>-7023000</v>
      </c>
      <c r="L148" s="3">
        <v>-59325000</v>
      </c>
      <c r="M148" s="3">
        <v>-371598000</v>
      </c>
      <c r="N148" s="3" t="s">
        <v>24</v>
      </c>
      <c r="O148" s="4">
        <v>165894000</v>
      </c>
      <c r="P148" s="3">
        <v>94855000</v>
      </c>
      <c r="Q148" s="3">
        <v>-26820000</v>
      </c>
      <c r="R148" s="3">
        <v>97859000</v>
      </c>
      <c r="S148" s="3" t="s">
        <v>24</v>
      </c>
    </row>
    <row r="149" spans="1:19" ht="16" x14ac:dyDescent="0.2">
      <c r="A149" s="2" t="s">
        <v>151</v>
      </c>
      <c r="B149" s="3">
        <v>-60480000</v>
      </c>
      <c r="C149" s="3">
        <v>-92467000</v>
      </c>
      <c r="D149" s="3">
        <v>12704000</v>
      </c>
      <c r="E149" s="3">
        <v>-63921000</v>
      </c>
      <c r="F149" s="3">
        <v>-153584000</v>
      </c>
      <c r="G149" s="3">
        <v>5200000</v>
      </c>
      <c r="H149" s="3">
        <v>-195975000</v>
      </c>
      <c r="I149" s="3">
        <v>-126232000</v>
      </c>
      <c r="J149" s="3">
        <v>119314000</v>
      </c>
      <c r="K149" s="3">
        <v>-199683000</v>
      </c>
      <c r="L149" s="3">
        <v>-196271000</v>
      </c>
      <c r="M149" s="3">
        <v>-519732000</v>
      </c>
      <c r="N149" s="3" t="s">
        <v>24</v>
      </c>
      <c r="O149" s="4">
        <v>-26254000</v>
      </c>
      <c r="P149" s="3">
        <v>-200074000</v>
      </c>
      <c r="Q149" s="3">
        <v>298440000</v>
      </c>
      <c r="R149" s="3">
        <v>-124620000</v>
      </c>
      <c r="S149" s="3" t="s">
        <v>24</v>
      </c>
    </row>
    <row r="150" spans="1:19" ht="16" x14ac:dyDescent="0.2">
      <c r="A150" s="2" t="s">
        <v>152</v>
      </c>
      <c r="B150" s="3">
        <v>-4144000</v>
      </c>
      <c r="C150" s="3">
        <v>-1656000</v>
      </c>
      <c r="D150" s="3">
        <v>-67000</v>
      </c>
      <c r="E150" s="3">
        <v>618000</v>
      </c>
      <c r="F150" s="3">
        <v>-2741000</v>
      </c>
      <c r="G150" s="3">
        <v>-8210000</v>
      </c>
      <c r="H150" s="3">
        <v>1793000</v>
      </c>
      <c r="I150" s="3">
        <v>-15714000</v>
      </c>
      <c r="J150" s="3">
        <v>8410000</v>
      </c>
      <c r="K150" s="3">
        <v>-29869000</v>
      </c>
      <c r="L150" s="3">
        <v>-5291000</v>
      </c>
      <c r="M150" s="3">
        <v>-28794000</v>
      </c>
      <c r="N150" s="3" t="s">
        <v>24</v>
      </c>
      <c r="O150" s="4">
        <v>15088000</v>
      </c>
      <c r="P150" s="3">
        <v>-11991000</v>
      </c>
      <c r="Q150" s="3">
        <v>12509000</v>
      </c>
      <c r="R150" s="3">
        <v>14570000</v>
      </c>
      <c r="S150" s="3" t="s">
        <v>24</v>
      </c>
    </row>
    <row r="151" spans="1:19" ht="16" x14ac:dyDescent="0.2">
      <c r="A151" s="2" t="s">
        <v>153</v>
      </c>
      <c r="B151" s="3">
        <v>27968000</v>
      </c>
      <c r="C151" s="3">
        <v>66303000</v>
      </c>
      <c r="D151" s="3">
        <v>6666000</v>
      </c>
      <c r="E151" s="3">
        <v>60473000</v>
      </c>
      <c r="F151" s="3">
        <v>97022000</v>
      </c>
      <c r="G151" s="3">
        <v>-48534000</v>
      </c>
      <c r="H151" s="3">
        <v>164579000</v>
      </c>
      <c r="I151" s="3">
        <v>161598000</v>
      </c>
      <c r="J151" s="3">
        <v>-156123000</v>
      </c>
      <c r="K151" s="3">
        <v>79433000</v>
      </c>
      <c r="L151" s="3">
        <v>222055000</v>
      </c>
      <c r="M151" s="3">
        <v>115038000</v>
      </c>
      <c r="N151" s="3" t="s">
        <v>24</v>
      </c>
      <c r="O151" s="4">
        <v>-20904000</v>
      </c>
      <c r="P151" s="3">
        <v>158978000</v>
      </c>
      <c r="Q151" s="3">
        <v>-297008000</v>
      </c>
      <c r="R151" s="3">
        <v>117126000</v>
      </c>
      <c r="S151" s="3" t="s">
        <v>24</v>
      </c>
    </row>
    <row r="152" spans="1:19" ht="16" x14ac:dyDescent="0.2">
      <c r="A152" s="2" t="s">
        <v>154</v>
      </c>
      <c r="B152" s="3">
        <v>930000</v>
      </c>
      <c r="C152" s="3">
        <v>10725000</v>
      </c>
      <c r="D152" s="3">
        <v>-566000</v>
      </c>
      <c r="E152" s="3">
        <v>1954000</v>
      </c>
      <c r="F152" s="3">
        <v>3032000</v>
      </c>
      <c r="G152" s="3">
        <v>24874000</v>
      </c>
      <c r="H152" s="3">
        <v>16081000</v>
      </c>
      <c r="I152" s="3">
        <v>71300000</v>
      </c>
      <c r="J152" s="3">
        <v>59916000</v>
      </c>
      <c r="K152" s="3">
        <v>-7651000</v>
      </c>
      <c r="L152" s="3">
        <v>-5672000</v>
      </c>
      <c r="M152" s="3">
        <v>20987000</v>
      </c>
      <c r="N152" s="3" t="s">
        <v>24</v>
      </c>
      <c r="O152" s="4">
        <v>72179000</v>
      </c>
      <c r="P152" s="3">
        <v>85830000</v>
      </c>
      <c r="Q152" s="3">
        <v>-42627000</v>
      </c>
      <c r="R152" s="3">
        <v>28976000</v>
      </c>
      <c r="S152" s="3" t="s">
        <v>24</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8480000</v>
      </c>
      <c r="C154" s="3">
        <v>16467000</v>
      </c>
      <c r="D154" s="3">
        <v>13583000</v>
      </c>
      <c r="E154" s="3">
        <v>6538000</v>
      </c>
      <c r="F154" s="3">
        <v>-44636000</v>
      </c>
      <c r="G154" s="3">
        <v>107509000</v>
      </c>
      <c r="H154" s="3">
        <v>-96444000</v>
      </c>
      <c r="I154" s="3">
        <v>84347000</v>
      </c>
      <c r="J154" s="3">
        <v>262554000</v>
      </c>
      <c r="K154" s="3">
        <v>-30334000</v>
      </c>
      <c r="L154" s="3">
        <v>122955000</v>
      </c>
      <c r="M154" s="3">
        <v>-440801000</v>
      </c>
      <c r="N154" s="3">
        <v>663580000</v>
      </c>
      <c r="O154" s="4">
        <v>663580000</v>
      </c>
      <c r="P154" s="3">
        <v>313587000</v>
      </c>
      <c r="Q154" s="3">
        <v>161087000</v>
      </c>
      <c r="R154" s="3">
        <v>198245000</v>
      </c>
      <c r="S154" s="3">
        <v>-9339000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v>2868000</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v>2868000</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-16202000</v>
      </c>
      <c r="C159" s="3">
        <v>-24862000</v>
      </c>
      <c r="D159" s="3">
        <v>-5001000</v>
      </c>
      <c r="E159" s="3">
        <v>-40567000</v>
      </c>
      <c r="F159" s="3">
        <v>-35100000</v>
      </c>
      <c r="G159" s="3">
        <v>-34108000</v>
      </c>
      <c r="H159" s="3">
        <v>-29365000</v>
      </c>
      <c r="I159" s="3">
        <v>-24824000</v>
      </c>
      <c r="J159" s="3">
        <v>-24849000</v>
      </c>
      <c r="K159" s="3">
        <v>-44338000</v>
      </c>
      <c r="L159" s="3">
        <v>-58016000</v>
      </c>
      <c r="M159" s="3">
        <v>-45182000</v>
      </c>
      <c r="N159" s="3" t="s">
        <v>24</v>
      </c>
      <c r="O159" s="4">
        <v>-28618000</v>
      </c>
      <c r="P159" s="3">
        <v>-10746000</v>
      </c>
      <c r="Q159" s="3">
        <v>-9885000</v>
      </c>
      <c r="R159" s="3">
        <v>-7987000</v>
      </c>
      <c r="S159" s="3" t="s">
        <v>24</v>
      </c>
    </row>
    <row r="160" spans="1:19" ht="16" x14ac:dyDescent="0.2">
      <c r="A160" s="2" t="s">
        <v>162</v>
      </c>
      <c r="B160" s="3">
        <v>-16202000</v>
      </c>
      <c r="C160" s="3">
        <v>-24862000</v>
      </c>
      <c r="D160" s="3">
        <v>-5001000</v>
      </c>
      <c r="E160" s="3">
        <v>-40567000</v>
      </c>
      <c r="F160" s="3">
        <v>-35100000</v>
      </c>
      <c r="G160" s="3">
        <v>-34108000</v>
      </c>
      <c r="H160" s="3">
        <v>-29365000</v>
      </c>
      <c r="I160" s="3">
        <v>-24824000</v>
      </c>
      <c r="J160" s="3">
        <v>-24849000</v>
      </c>
      <c r="K160" s="3">
        <v>-44338000</v>
      </c>
      <c r="L160" s="3">
        <v>-58016000</v>
      </c>
      <c r="M160" s="3">
        <v>-45182000</v>
      </c>
      <c r="N160" s="3" t="s">
        <v>24</v>
      </c>
      <c r="O160" s="4">
        <v>-28618000</v>
      </c>
      <c r="P160" s="3">
        <v>-10746000</v>
      </c>
      <c r="Q160" s="3">
        <v>-9885000</v>
      </c>
      <c r="R160" s="3">
        <v>-7987000</v>
      </c>
      <c r="S160" s="3" t="s">
        <v>24</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750000</v>
      </c>
      <c r="C162" s="3">
        <v>2307000</v>
      </c>
      <c r="D162" s="3">
        <v>300000</v>
      </c>
      <c r="E162" s="3" t="s">
        <v>24</v>
      </c>
      <c r="F162" s="3">
        <v>-661000</v>
      </c>
      <c r="G162" s="3" t="s">
        <v>24</v>
      </c>
      <c r="H162" s="3" t="s">
        <v>24</v>
      </c>
      <c r="I162" s="3">
        <v>-1100000</v>
      </c>
      <c r="J162" s="3" t="s">
        <v>24</v>
      </c>
      <c r="K162" s="3" t="s">
        <v>24</v>
      </c>
      <c r="L162" s="3" t="s">
        <v>24</v>
      </c>
      <c r="M162" s="3">
        <v>-1100000</v>
      </c>
      <c r="N162" s="3" t="s">
        <v>24</v>
      </c>
      <c r="O162" s="4" t="s">
        <v>24</v>
      </c>
      <c r="P162" s="3" t="s">
        <v>24</v>
      </c>
      <c r="Q162" s="3" t="s">
        <v>24</v>
      </c>
      <c r="R162" s="3" t="s">
        <v>24</v>
      </c>
      <c r="S162" s="3" t="s">
        <v>24</v>
      </c>
    </row>
    <row r="163" spans="1:19" ht="16" x14ac:dyDescent="0.2">
      <c r="A163" s="2" t="s">
        <v>165</v>
      </c>
      <c r="B163" s="3">
        <v>1500000</v>
      </c>
      <c r="C163" s="3">
        <v>2475000</v>
      </c>
      <c r="D163" s="3">
        <v>300000</v>
      </c>
      <c r="E163" s="3" t="s">
        <v>24</v>
      </c>
      <c r="F163" s="3" t="s">
        <v>24</v>
      </c>
      <c r="G163" s="3" t="s">
        <v>24</v>
      </c>
      <c r="H163" s="3" t="s">
        <v>24</v>
      </c>
      <c r="I163" s="3">
        <v>1000000</v>
      </c>
      <c r="J163" s="3" t="s">
        <v>24</v>
      </c>
      <c r="K163" s="3" t="s">
        <v>24</v>
      </c>
      <c r="L163" s="3" t="s">
        <v>24</v>
      </c>
      <c r="M163" s="3" t="s">
        <v>24</v>
      </c>
      <c r="N163" s="3" t="s">
        <v>24</v>
      </c>
      <c r="O163" s="4" t="s">
        <v>24</v>
      </c>
      <c r="P163" s="3" t="s">
        <v>24</v>
      </c>
      <c r="Q163" s="3" t="s">
        <v>24</v>
      </c>
      <c r="R163" s="3" t="s">
        <v>24</v>
      </c>
      <c r="S163" s="3" t="s">
        <v>24</v>
      </c>
    </row>
    <row r="164" spans="1:19" ht="16" x14ac:dyDescent="0.2">
      <c r="A164" s="2" t="s">
        <v>166</v>
      </c>
      <c r="B164" s="3">
        <v>-750000</v>
      </c>
      <c r="C164" s="3">
        <v>-168000</v>
      </c>
      <c r="D164" s="3" t="s">
        <v>24</v>
      </c>
      <c r="E164" s="3" t="s">
        <v>24</v>
      </c>
      <c r="F164" s="3">
        <v>-661000</v>
      </c>
      <c r="G164" s="3" t="s">
        <v>24</v>
      </c>
      <c r="H164" s="3" t="s">
        <v>24</v>
      </c>
      <c r="I164" s="3">
        <v>-2100000</v>
      </c>
      <c r="J164" s="3" t="s">
        <v>24</v>
      </c>
      <c r="K164" s="3" t="s">
        <v>24</v>
      </c>
      <c r="L164" s="3" t="s">
        <v>24</v>
      </c>
      <c r="M164" s="3">
        <v>-1100000</v>
      </c>
      <c r="N164" s="3" t="s">
        <v>24</v>
      </c>
      <c r="O164" s="4" t="s">
        <v>24</v>
      </c>
      <c r="P164" s="3" t="s">
        <v>24</v>
      </c>
      <c r="Q164" s="3" t="s">
        <v>24</v>
      </c>
      <c r="R164" s="3" t="s">
        <v>24</v>
      </c>
      <c r="S164" s="3" t="s">
        <v>24</v>
      </c>
    </row>
    <row r="165" spans="1:19" ht="16" x14ac:dyDescent="0.2">
      <c r="A165" s="2" t="s">
        <v>167</v>
      </c>
      <c r="B165" s="3" t="s">
        <v>24</v>
      </c>
      <c r="C165" s="3" t="s">
        <v>24</v>
      </c>
      <c r="D165" s="3" t="s">
        <v>24</v>
      </c>
      <c r="E165" s="3" t="s">
        <v>24</v>
      </c>
      <c r="F165" s="3" t="s">
        <v>24</v>
      </c>
      <c r="G165" s="3" t="s">
        <v>24</v>
      </c>
      <c r="H165" s="3" t="s">
        <v>24</v>
      </c>
      <c r="I165" s="3">
        <v>-2100000</v>
      </c>
      <c r="J165" s="3" t="s">
        <v>24</v>
      </c>
      <c r="K165" s="3">
        <v>750000</v>
      </c>
      <c r="L165" s="3" t="s">
        <v>24</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v>750000</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t="s">
        <v>24</v>
      </c>
      <c r="F167" s="3" t="s">
        <v>24</v>
      </c>
      <c r="G167" s="3" t="s">
        <v>24</v>
      </c>
      <c r="H167" s="3" t="s">
        <v>24</v>
      </c>
      <c r="I167" s="3">
        <v>-2100000</v>
      </c>
      <c r="J167" s="3" t="s">
        <v>24</v>
      </c>
      <c r="K167" s="3" t="s">
        <v>24</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-9318000</v>
      </c>
      <c r="C169" s="3">
        <v>-32000</v>
      </c>
      <c r="D169" s="3">
        <v>-412000</v>
      </c>
      <c r="E169" s="3">
        <v>406000</v>
      </c>
      <c r="F169" s="3">
        <v>-416000</v>
      </c>
      <c r="G169" s="3">
        <v>-1020000</v>
      </c>
      <c r="H169" s="3">
        <v>-286000</v>
      </c>
      <c r="I169" s="3">
        <v>2100000</v>
      </c>
      <c r="J169" s="3" t="s">
        <v>24</v>
      </c>
      <c r="K169" s="3" t="s">
        <v>24</v>
      </c>
      <c r="L169" s="3" t="s">
        <v>24</v>
      </c>
      <c r="M169" s="3" t="s">
        <v>24</v>
      </c>
      <c r="N169" s="3">
        <v>-39486000</v>
      </c>
      <c r="O169" s="4">
        <v>-10868000</v>
      </c>
      <c r="P169" s="3" t="s">
        <v>24</v>
      </c>
      <c r="Q169" s="3" t="s">
        <v>24</v>
      </c>
      <c r="R169" s="3" t="s">
        <v>24</v>
      </c>
      <c r="S169" s="3">
        <v>-10868000</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-24770000</v>
      </c>
      <c r="C171" s="3">
        <v>-19719000</v>
      </c>
      <c r="D171" s="3">
        <v>-5113000</v>
      </c>
      <c r="E171" s="3">
        <v>-40161000</v>
      </c>
      <c r="F171" s="3">
        <v>-36177000</v>
      </c>
      <c r="G171" s="3">
        <v>-35128000</v>
      </c>
      <c r="H171" s="3">
        <v>-29651000</v>
      </c>
      <c r="I171" s="3">
        <v>-25924000</v>
      </c>
      <c r="J171" s="3">
        <v>-24849000</v>
      </c>
      <c r="K171" s="3">
        <v>-43588000</v>
      </c>
      <c r="L171" s="3">
        <v>-58016000</v>
      </c>
      <c r="M171" s="3">
        <v>-46282000</v>
      </c>
      <c r="N171" s="3">
        <v>-39486000</v>
      </c>
      <c r="O171" s="4">
        <v>-39486000</v>
      </c>
      <c r="P171" s="3">
        <v>-10746000</v>
      </c>
      <c r="Q171" s="3">
        <v>-9885000</v>
      </c>
      <c r="R171" s="3">
        <v>-7987000</v>
      </c>
      <c r="S171" s="3">
        <v>-10868000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v>9534000</v>
      </c>
      <c r="C173" s="3">
        <v>4712000</v>
      </c>
      <c r="D173" s="3">
        <v>5096000</v>
      </c>
      <c r="E173" s="3">
        <v>22021000</v>
      </c>
      <c r="F173" s="3">
        <v>97666000</v>
      </c>
      <c r="G173" s="3">
        <v>11000</v>
      </c>
      <c r="H173" s="3">
        <v>132898000</v>
      </c>
      <c r="I173" s="3">
        <v>-97725000</v>
      </c>
      <c r="J173" s="3">
        <v>-184037000</v>
      </c>
      <c r="K173" s="3">
        <v>4346000</v>
      </c>
      <c r="L173" s="3">
        <v>66430000</v>
      </c>
      <c r="M173" s="3">
        <v>512622000</v>
      </c>
      <c r="N173" s="3" t="s">
        <v>24</v>
      </c>
      <c r="O173" s="4">
        <v>-406120000</v>
      </c>
      <c r="P173" s="3">
        <v>-335596000</v>
      </c>
      <c r="Q173" s="3">
        <v>-85029000</v>
      </c>
      <c r="R173" s="3">
        <v>14505000</v>
      </c>
      <c r="S173" s="3" t="s">
        <v>24</v>
      </c>
    </row>
    <row r="174" spans="1:19" ht="16" x14ac:dyDescent="0.2">
      <c r="A174" s="2" t="s">
        <v>175</v>
      </c>
      <c r="B174" s="3">
        <v>23730000</v>
      </c>
      <c r="C174" s="3">
        <v>33696000</v>
      </c>
      <c r="D174" s="3">
        <v>41282000</v>
      </c>
      <c r="E174" s="3">
        <v>34708000</v>
      </c>
      <c r="F174" s="3">
        <v>169800000</v>
      </c>
      <c r="G174" s="3">
        <v>68400000</v>
      </c>
      <c r="H174" s="3">
        <v>414058000</v>
      </c>
      <c r="I174" s="3">
        <v>343126000</v>
      </c>
      <c r="J174" s="3">
        <v>83520000</v>
      </c>
      <c r="K174" s="3">
        <v>164791000</v>
      </c>
      <c r="L174" s="3">
        <v>127059000</v>
      </c>
      <c r="M174" s="3">
        <v>1153317000</v>
      </c>
      <c r="N174" s="3" t="s">
        <v>24</v>
      </c>
      <c r="O174" s="4">
        <v>164326000</v>
      </c>
      <c r="P174" s="3">
        <v>79141000</v>
      </c>
      <c r="Q174" s="3">
        <v>64896000</v>
      </c>
      <c r="R174" s="3">
        <v>20289000</v>
      </c>
      <c r="S174" s="3" t="s">
        <v>24</v>
      </c>
    </row>
    <row r="175" spans="1:19" ht="16" x14ac:dyDescent="0.2">
      <c r="A175" s="2" t="s">
        <v>176</v>
      </c>
      <c r="B175" s="3">
        <v>-14196000</v>
      </c>
      <c r="C175" s="3">
        <v>-28984000</v>
      </c>
      <c r="D175" s="3">
        <v>-36186000</v>
      </c>
      <c r="E175" s="3">
        <v>-12687000</v>
      </c>
      <c r="F175" s="3">
        <v>-72134000</v>
      </c>
      <c r="G175" s="3">
        <v>-68389000</v>
      </c>
      <c r="H175" s="3">
        <v>-281160000</v>
      </c>
      <c r="I175" s="3">
        <v>-440851000</v>
      </c>
      <c r="J175" s="3">
        <v>-267557000</v>
      </c>
      <c r="K175" s="3">
        <v>-160445000</v>
      </c>
      <c r="L175" s="3">
        <v>-60629000</v>
      </c>
      <c r="M175" s="3">
        <v>-640695000</v>
      </c>
      <c r="N175" s="3" t="s">
        <v>24</v>
      </c>
      <c r="O175" s="4">
        <v>-570446000</v>
      </c>
      <c r="P175" s="3">
        <v>-414737000</v>
      </c>
      <c r="Q175" s="3">
        <v>-149925000</v>
      </c>
      <c r="R175" s="3">
        <v>-5784000</v>
      </c>
      <c r="S175" s="3" t="s">
        <v>24</v>
      </c>
    </row>
    <row r="176" spans="1:19" ht="16" x14ac:dyDescent="0.2">
      <c r="A176" s="2" t="s">
        <v>177</v>
      </c>
      <c r="B176" s="3" t="s">
        <v>24</v>
      </c>
      <c r="C176" s="3" t="s">
        <v>24</v>
      </c>
      <c r="D176" s="3" t="s">
        <v>24</v>
      </c>
      <c r="E176" s="3" t="s">
        <v>24</v>
      </c>
      <c r="F176" s="3" t="s">
        <v>24</v>
      </c>
      <c r="G176" s="3" t="s">
        <v>24</v>
      </c>
      <c r="H176" s="3">
        <v>-18461000</v>
      </c>
      <c r="I176" s="3" t="s">
        <v>24</v>
      </c>
      <c r="J176" s="3" t="s">
        <v>24</v>
      </c>
      <c r="K176" s="3" t="s">
        <v>24</v>
      </c>
      <c r="L176" s="3">
        <v>-130000000</v>
      </c>
      <c r="M176" s="3" t="s">
        <v>24</v>
      </c>
      <c r="N176" s="3" t="s">
        <v>24</v>
      </c>
      <c r="O176" s="4" t="s">
        <v>24</v>
      </c>
      <c r="P176" s="3" t="s">
        <v>24</v>
      </c>
      <c r="Q176" s="3" t="s">
        <v>24</v>
      </c>
      <c r="R176" s="3" t="s">
        <v>24</v>
      </c>
      <c r="S176" s="3" t="s">
        <v>24</v>
      </c>
    </row>
    <row r="177" spans="1:19" ht="16" x14ac:dyDescent="0.2">
      <c r="A177" s="2" t="s">
        <v>178</v>
      </c>
      <c r="B177" s="3" t="s">
        <v>24</v>
      </c>
      <c r="C177" s="3" t="s">
        <v>24</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9" ht="16" x14ac:dyDescent="0.2">
      <c r="A178" s="2" t="s">
        <v>179</v>
      </c>
      <c r="B178" s="3" t="s">
        <v>24</v>
      </c>
      <c r="C178" s="3" t="s">
        <v>24</v>
      </c>
      <c r="D178" s="3" t="s">
        <v>24</v>
      </c>
      <c r="E178" s="3" t="s">
        <v>24</v>
      </c>
      <c r="F178" s="3" t="s">
        <v>24</v>
      </c>
      <c r="G178" s="3" t="s">
        <v>24</v>
      </c>
      <c r="H178" s="3">
        <v>-18461000</v>
      </c>
      <c r="I178" s="3" t="s">
        <v>24</v>
      </c>
      <c r="J178" s="3" t="s">
        <v>24</v>
      </c>
      <c r="K178" s="3" t="s">
        <v>24</v>
      </c>
      <c r="L178" s="3">
        <v>-130000000</v>
      </c>
      <c r="M178" s="3" t="s">
        <v>24</v>
      </c>
      <c r="N178" s="3" t="s">
        <v>24</v>
      </c>
      <c r="O178" s="4" t="s">
        <v>24</v>
      </c>
      <c r="P178" s="3" t="s">
        <v>24</v>
      </c>
      <c r="Q178" s="3" t="s">
        <v>24</v>
      </c>
      <c r="R178" s="3" t="s">
        <v>24</v>
      </c>
      <c r="S178" s="3" t="s">
        <v>24</v>
      </c>
    </row>
    <row r="179" spans="1:19" ht="16" x14ac:dyDescent="0.2">
      <c r="A179" s="2" t="s">
        <v>180</v>
      </c>
      <c r="B179" s="3">
        <v>4055000</v>
      </c>
      <c r="C179" s="3">
        <v>9105000</v>
      </c>
      <c r="D179" s="3">
        <v>-1334000</v>
      </c>
      <c r="E179" s="3">
        <v>15201000</v>
      </c>
      <c r="F179" s="3">
        <v>-17615000</v>
      </c>
      <c r="G179" s="3">
        <v>13134000</v>
      </c>
      <c r="H179" s="3">
        <v>-56699000</v>
      </c>
      <c r="I179" s="3">
        <v>46893000</v>
      </c>
      <c r="J179" s="3">
        <v>88209000</v>
      </c>
      <c r="K179" s="3">
        <v>19450000</v>
      </c>
      <c r="L179" s="3">
        <v>19130000</v>
      </c>
      <c r="M179" s="3">
        <v>10249000</v>
      </c>
      <c r="N179" s="3">
        <v>-448293000</v>
      </c>
      <c r="O179" s="4">
        <v>-42173000</v>
      </c>
      <c r="P179" s="3">
        <v>4413000</v>
      </c>
      <c r="Q179" s="3">
        <v>391000</v>
      </c>
      <c r="R179" s="3">
        <v>-145975000</v>
      </c>
      <c r="S179" s="3">
        <v>98998000</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13589000</v>
      </c>
      <c r="C181" s="3">
        <v>13817000</v>
      </c>
      <c r="D181" s="3">
        <v>3762000</v>
      </c>
      <c r="E181" s="3">
        <v>37222000</v>
      </c>
      <c r="F181" s="3">
        <v>80051000</v>
      </c>
      <c r="G181" s="3">
        <v>13145000</v>
      </c>
      <c r="H181" s="3">
        <v>57738000</v>
      </c>
      <c r="I181" s="3">
        <v>-50832000</v>
      </c>
      <c r="J181" s="3">
        <v>-95828000</v>
      </c>
      <c r="K181" s="3">
        <v>23796000</v>
      </c>
      <c r="L181" s="3">
        <v>-44440000</v>
      </c>
      <c r="M181" s="3">
        <v>522871000</v>
      </c>
      <c r="N181" s="3">
        <v>-448293000</v>
      </c>
      <c r="O181" s="4">
        <v>-448293000</v>
      </c>
      <c r="P181" s="3">
        <v>-331183000</v>
      </c>
      <c r="Q181" s="3">
        <v>-84638000</v>
      </c>
      <c r="R181" s="3">
        <v>-131470000</v>
      </c>
      <c r="S181" s="3">
        <v>98998000</v>
      </c>
    </row>
    <row r="182" spans="1:19" ht="16" x14ac:dyDescent="0.2">
      <c r="A182" s="2" t="s">
        <v>182</v>
      </c>
      <c r="B182" s="3" t="s">
        <v>24</v>
      </c>
      <c r="C182" s="3">
        <v>318000</v>
      </c>
      <c r="D182" s="3">
        <v>-20000</v>
      </c>
      <c r="E182" s="3">
        <v>235000</v>
      </c>
      <c r="F182" s="3">
        <v>-668000</v>
      </c>
      <c r="G182" s="3">
        <v>-4000</v>
      </c>
      <c r="H182" s="3">
        <v>589000</v>
      </c>
      <c r="I182" s="3">
        <v>-6000</v>
      </c>
      <c r="J182" s="3">
        <v>-119000</v>
      </c>
      <c r="K182" s="3">
        <v>376000</v>
      </c>
      <c r="L182" s="3">
        <v>560000</v>
      </c>
      <c r="M182" s="3">
        <v>-678000</v>
      </c>
      <c r="N182" s="3">
        <v>-3400000</v>
      </c>
      <c r="O182" s="4">
        <v>-3400000</v>
      </c>
      <c r="P182" s="3">
        <v>-1472000</v>
      </c>
      <c r="Q182" s="3">
        <v>-221000</v>
      </c>
      <c r="R182" s="3">
        <v>-576000</v>
      </c>
      <c r="S182" s="3">
        <v>-1131000</v>
      </c>
    </row>
    <row r="183" spans="1:19" ht="16" x14ac:dyDescent="0.2">
      <c r="A183" s="2" t="s">
        <v>183</v>
      </c>
      <c r="B183" s="3">
        <v>-2701000</v>
      </c>
      <c r="C183" s="3">
        <v>10565000</v>
      </c>
      <c r="D183" s="3">
        <v>12232000</v>
      </c>
      <c r="E183" s="3">
        <v>3599000</v>
      </c>
      <c r="F183" s="3">
        <v>-762000</v>
      </c>
      <c r="G183" s="3">
        <v>85526000</v>
      </c>
      <c r="H183" s="3">
        <v>-68357000</v>
      </c>
      <c r="I183" s="3">
        <v>7591000</v>
      </c>
      <c r="J183" s="3">
        <v>141877000</v>
      </c>
      <c r="K183" s="3">
        <v>-50126000</v>
      </c>
      <c r="L183" s="3">
        <v>20499000</v>
      </c>
      <c r="M183" s="3">
        <v>35788000</v>
      </c>
      <c r="N183" s="3">
        <v>175801000</v>
      </c>
      <c r="O183" s="4">
        <v>175801000</v>
      </c>
      <c r="P183" s="3">
        <v>-28342000</v>
      </c>
      <c r="Q183" s="3">
        <v>66564000</v>
      </c>
      <c r="R183" s="3">
        <v>58788000</v>
      </c>
      <c r="S183" s="3">
        <v>78791000</v>
      </c>
    </row>
    <row r="184" spans="1:19" ht="16" x14ac:dyDescent="0.2">
      <c r="A184" s="2" t="s">
        <v>54</v>
      </c>
      <c r="B184" s="3">
        <v>64146000</v>
      </c>
      <c r="C184" s="3">
        <v>53085000</v>
      </c>
      <c r="D184" s="3">
        <v>34993000</v>
      </c>
      <c r="E184" s="3">
        <v>86623000</v>
      </c>
      <c r="F184" s="3">
        <v>154879000</v>
      </c>
      <c r="G184" s="3">
        <v>120132000</v>
      </c>
      <c r="H184" s="3">
        <v>117803000</v>
      </c>
      <c r="I184" s="3">
        <v>116560000</v>
      </c>
      <c r="J184" s="3">
        <v>121435000</v>
      </c>
      <c r="K184" s="3">
        <v>114126000</v>
      </c>
      <c r="L184" s="3">
        <v>152132000</v>
      </c>
      <c r="M184" s="3">
        <v>367638000</v>
      </c>
      <c r="N184" s="3">
        <v>761142000</v>
      </c>
      <c r="O184" s="4">
        <v>787074000</v>
      </c>
      <c r="P184" s="3">
        <v>228670000</v>
      </c>
      <c r="Q184" s="3">
        <v>223831000</v>
      </c>
      <c r="R184" s="3">
        <v>107818000</v>
      </c>
      <c r="S184" s="3">
        <v>226755000</v>
      </c>
    </row>
    <row r="185" spans="1:19" ht="16" x14ac:dyDescent="0.2">
      <c r="A185" s="2" t="s">
        <v>55</v>
      </c>
      <c r="B185" s="5">
        <v>6.81</v>
      </c>
      <c r="C185" s="5">
        <v>5.24</v>
      </c>
      <c r="D185" s="5">
        <v>3.01</v>
      </c>
      <c r="E185" s="5">
        <v>5.9</v>
      </c>
      <c r="F185" s="5">
        <v>7.78</v>
      </c>
      <c r="G185" s="5">
        <v>5.42</v>
      </c>
      <c r="H185" s="5">
        <v>4.66</v>
      </c>
      <c r="I185" s="5">
        <v>3.47</v>
      </c>
      <c r="J185" s="5">
        <v>3.47</v>
      </c>
      <c r="K185" s="5">
        <v>3.42</v>
      </c>
      <c r="L185" s="5">
        <v>4.28</v>
      </c>
      <c r="M185" s="5">
        <v>7.08</v>
      </c>
      <c r="N185" s="5">
        <v>10.68</v>
      </c>
      <c r="O185" s="6">
        <v>11.05</v>
      </c>
      <c r="P185" s="5">
        <v>9.3000000000000007</v>
      </c>
      <c r="Q185" s="5">
        <v>10.9</v>
      </c>
      <c r="R185" s="5">
        <v>11.16</v>
      </c>
      <c r="S185" s="5">
        <v>11.05</v>
      </c>
    </row>
    <row r="186" spans="1:19" ht="16" x14ac:dyDescent="0.2">
      <c r="A186" s="2" t="s">
        <v>184</v>
      </c>
      <c r="B186" s="3" t="s">
        <v>24</v>
      </c>
      <c r="C186" s="3" t="s">
        <v>24</v>
      </c>
      <c r="D186" s="3" t="s">
        <v>24</v>
      </c>
      <c r="E186" s="3" t="s">
        <v>24</v>
      </c>
      <c r="F186" s="3" t="s">
        <v>24</v>
      </c>
      <c r="G186" s="3" t="s">
        <v>24</v>
      </c>
      <c r="H186" s="3" t="s">
        <v>24</v>
      </c>
      <c r="I186" s="3">
        <v>2100000</v>
      </c>
      <c r="J186" s="3" t="s">
        <v>24</v>
      </c>
      <c r="K186" s="3">
        <v>-750000</v>
      </c>
      <c r="L186" s="3" t="s">
        <v>24</v>
      </c>
      <c r="M186" s="3" t="s">
        <v>24</v>
      </c>
      <c r="N186" s="3" t="s">
        <v>24</v>
      </c>
      <c r="O186" s="4" t="s">
        <v>24</v>
      </c>
      <c r="P186" s="3" t="s">
        <v>24</v>
      </c>
      <c r="Q186" s="3" t="s">
        <v>24</v>
      </c>
      <c r="R186" s="3" t="s">
        <v>24</v>
      </c>
      <c r="S186" s="3" t="s">
        <v>24</v>
      </c>
    </row>
    <row r="187" spans="1:19" ht="16" x14ac:dyDescent="0.2">
      <c r="A187" s="2" t="s">
        <v>185</v>
      </c>
      <c r="B187" s="3">
        <v>-7722000</v>
      </c>
      <c r="C187" s="3">
        <v>-8395000</v>
      </c>
      <c r="D187" s="3">
        <v>8582000</v>
      </c>
      <c r="E187" s="3">
        <v>-34029000</v>
      </c>
      <c r="F187" s="3">
        <v>-79736000</v>
      </c>
      <c r="G187" s="3">
        <v>73401000</v>
      </c>
      <c r="H187" s="3">
        <v>-125809000</v>
      </c>
      <c r="I187" s="3">
        <v>59523000</v>
      </c>
      <c r="J187" s="3">
        <v>237705000</v>
      </c>
      <c r="K187" s="3">
        <v>-74672000</v>
      </c>
      <c r="L187" s="3">
        <v>64939000</v>
      </c>
      <c r="M187" s="3">
        <v>-485983000</v>
      </c>
      <c r="N187" s="3">
        <v>663580000</v>
      </c>
      <c r="O187" s="4">
        <v>634962000</v>
      </c>
      <c r="P187" s="3">
        <v>302841000</v>
      </c>
      <c r="Q187" s="3">
        <v>151202000</v>
      </c>
      <c r="R187" s="3">
        <v>190258000</v>
      </c>
      <c r="S187" s="3">
        <v>-9339000</v>
      </c>
    </row>
    <row r="188" spans="1:19" ht="16" x14ac:dyDescent="0.2">
      <c r="A188" s="28" t="s">
        <v>186</v>
      </c>
      <c r="B188" s="26">
        <v>-7246975</v>
      </c>
      <c r="C188" s="26">
        <v>-7923024</v>
      </c>
      <c r="D188" s="26">
        <v>9070050</v>
      </c>
      <c r="E188" s="26">
        <v>-33513925</v>
      </c>
      <c r="F188" s="26">
        <v>-79062247</v>
      </c>
      <c r="G188" s="26">
        <v>74373103</v>
      </c>
      <c r="H188" s="26">
        <v>-124295412</v>
      </c>
      <c r="I188" s="26">
        <v>62753680</v>
      </c>
      <c r="J188" s="26">
        <v>243282728</v>
      </c>
      <c r="K188" s="26">
        <v>-72513022</v>
      </c>
      <c r="L188" s="26">
        <v>67278706</v>
      </c>
      <c r="M188" s="26">
        <v>-480576712</v>
      </c>
      <c r="N188" s="26">
        <v>672531822</v>
      </c>
      <c r="O188" s="27">
        <v>643913822</v>
      </c>
      <c r="P188" s="26">
        <v>306095256</v>
      </c>
      <c r="Q188" s="26">
        <v>152707240</v>
      </c>
      <c r="R188" s="26">
        <v>191402893</v>
      </c>
      <c r="S188" s="26">
        <v>-6317628</v>
      </c>
    </row>
    <row r="189" spans="1:19" ht="16" x14ac:dyDescent="0.2">
      <c r="A189" s="20" t="s">
        <v>199</v>
      </c>
      <c r="B189" s="21"/>
      <c r="C189" s="22">
        <f>(C188/B188)-1</f>
        <v>9.3287061153101813E-2</v>
      </c>
      <c r="D189" s="22">
        <f>(D188/C188)-1</f>
        <v>-2.1447712388603142</v>
      </c>
      <c r="E189" s="22">
        <f>(E188/D188)-1</f>
        <v>-4.6950099503310341</v>
      </c>
      <c r="F189" s="22">
        <f t="shared" ref="F189:N189" si="8">(F188/E188)-1</f>
        <v>1.3590864692810527</v>
      </c>
      <c r="G189" s="22">
        <f t="shared" si="8"/>
        <v>-1.9406904789842363</v>
      </c>
      <c r="H189" s="22">
        <f t="shared" si="8"/>
        <v>-2.6712414432943588</v>
      </c>
      <c r="I189" s="22">
        <f t="shared" si="8"/>
        <v>-1.5048752724678205</v>
      </c>
      <c r="J189" s="22">
        <f t="shared" si="8"/>
        <v>2.8767882297898706</v>
      </c>
      <c r="K189" s="22">
        <f t="shared" si="8"/>
        <v>-1.2980607073758232</v>
      </c>
      <c r="L189" s="22">
        <f t="shared" si="8"/>
        <v>-1.9278155032622968</v>
      </c>
      <c r="M189" s="22">
        <f t="shared" si="8"/>
        <v>-8.1430730549425263</v>
      </c>
      <c r="N189" s="22">
        <f t="shared" si="8"/>
        <v>-2.3994265747941608</v>
      </c>
      <c r="O189" s="22">
        <f>(O188/N188)-1</f>
        <v>-4.2552633293833964E-2</v>
      </c>
      <c r="P189" s="22"/>
      <c r="Q189" s="22">
        <f>(Q188/P188)-1</f>
        <v>-0.50111203291566198</v>
      </c>
      <c r="R189" s="22">
        <f>(R188/Q188)-1</f>
        <v>0.25339763196558329</v>
      </c>
      <c r="S189" s="22">
        <f>(S188/R188)-1</f>
        <v>-1.0330069619167146</v>
      </c>
    </row>
    <row r="190" spans="1:19" ht="16" x14ac:dyDescent="0.2">
      <c r="A190" s="23" t="s">
        <v>200</v>
      </c>
      <c r="B190" s="24">
        <f t="shared" ref="B190:S190" si="9">B188/B2</f>
        <v>-7.6884292294993961E-3</v>
      </c>
      <c r="C190" s="24">
        <f t="shared" si="9"/>
        <v>-7.8146041815846945E-3</v>
      </c>
      <c r="D190" s="24">
        <f t="shared" si="9"/>
        <v>7.8017841644438439E-3</v>
      </c>
      <c r="E190" s="24">
        <f t="shared" si="9"/>
        <v>-2.284206605498084E-2</v>
      </c>
      <c r="F190" s="24">
        <f t="shared" si="9"/>
        <v>-3.9706726497937127E-2</v>
      </c>
      <c r="G190" s="24">
        <f t="shared" si="9"/>
        <v>3.3568337852104176E-2</v>
      </c>
      <c r="H190" s="24">
        <f t="shared" si="9"/>
        <v>-4.9130271965658924E-2</v>
      </c>
      <c r="I190" s="24">
        <f t="shared" si="9"/>
        <v>1.8673956075479423E-2</v>
      </c>
      <c r="J190" s="24">
        <f t="shared" si="9"/>
        <v>6.9502202059216769E-2</v>
      </c>
      <c r="K190" s="24">
        <f t="shared" si="9"/>
        <v>-2.1715160239584509E-2</v>
      </c>
      <c r="L190" s="24">
        <f t="shared" si="9"/>
        <v>1.8912208335137074E-2</v>
      </c>
      <c r="M190" s="24">
        <f t="shared" si="9"/>
        <v>-9.2487982234364663E-2</v>
      </c>
      <c r="N190" s="24">
        <f t="shared" si="9"/>
        <v>9.4410545573077889E-2</v>
      </c>
      <c r="O190" s="25">
        <f t="shared" si="9"/>
        <v>9.0393128248235907E-2</v>
      </c>
      <c r="P190" s="24">
        <f t="shared" si="9"/>
        <v>0.16526661519439781</v>
      </c>
      <c r="Q190" s="24">
        <f t="shared" si="9"/>
        <v>8.4687036066537449E-2</v>
      </c>
      <c r="R190" s="24">
        <f t="shared" si="9"/>
        <v>0.14914945032167171</v>
      </c>
      <c r="S190" s="24">
        <f t="shared" si="9"/>
        <v>-2.8915468764374483E-3</v>
      </c>
    </row>
    <row r="191" spans="1:19" ht="16" x14ac:dyDescent="0.2">
      <c r="A191" s="2" t="s">
        <v>187</v>
      </c>
      <c r="B191" s="3">
        <v>1812000</v>
      </c>
      <c r="C191" s="3">
        <v>-815000</v>
      </c>
      <c r="D191" s="3">
        <v>13678000</v>
      </c>
      <c r="E191" s="3">
        <v>-12008000</v>
      </c>
      <c r="F191" s="3">
        <v>17930000</v>
      </c>
      <c r="G191" s="3">
        <v>73412000</v>
      </c>
      <c r="H191" s="3">
        <v>7089000</v>
      </c>
      <c r="I191" s="3">
        <v>-38202000</v>
      </c>
      <c r="J191" s="3">
        <v>53668000</v>
      </c>
      <c r="K191" s="3">
        <v>-70326000</v>
      </c>
      <c r="L191" s="3">
        <v>131369000</v>
      </c>
      <c r="M191" s="3">
        <v>26639000</v>
      </c>
      <c r="N191" s="3">
        <v>663580000</v>
      </c>
      <c r="O191" s="4">
        <v>228842000</v>
      </c>
      <c r="P191" s="3">
        <v>-32755000</v>
      </c>
      <c r="Q191" s="3">
        <v>66173000</v>
      </c>
      <c r="R191" s="3">
        <v>204763000</v>
      </c>
      <c r="S191" s="3">
        <v>-9339000</v>
      </c>
    </row>
    <row r="192" spans="1:19" ht="16" x14ac:dyDescent="0.2">
      <c r="A192" s="2" t="s">
        <v>188</v>
      </c>
      <c r="B192" s="5">
        <v>-0.2</v>
      </c>
      <c r="C192" s="5">
        <v>-0.21</v>
      </c>
      <c r="D192" s="5">
        <v>0.2</v>
      </c>
      <c r="E192" s="5">
        <v>-0.78</v>
      </c>
      <c r="F192" s="5">
        <v>-1.72</v>
      </c>
      <c r="G192" s="5">
        <v>1.53</v>
      </c>
      <c r="H192" s="5">
        <v>-2.6</v>
      </c>
      <c r="I192" s="5">
        <v>1.21</v>
      </c>
      <c r="J192" s="5">
        <v>4.76</v>
      </c>
      <c r="K192" s="5">
        <v>-1.46</v>
      </c>
      <c r="L192" s="5">
        <v>1.27</v>
      </c>
      <c r="M192" s="5">
        <v>-9.44</v>
      </c>
      <c r="N192" s="5">
        <v>12.54</v>
      </c>
      <c r="O192" s="4">
        <v>12</v>
      </c>
      <c r="P192" s="5">
        <v>5.76</v>
      </c>
      <c r="Q192" s="5">
        <v>2.84</v>
      </c>
      <c r="R192" s="5">
        <v>3.57</v>
      </c>
      <c r="S192" s="5">
        <v>-0.18</v>
      </c>
    </row>
    <row r="193" spans="1:19" ht="16" x14ac:dyDescent="0.2">
      <c r="A193" s="2" t="s">
        <v>189</v>
      </c>
      <c r="B193" s="5">
        <v>27.64</v>
      </c>
      <c r="C193" s="5">
        <v>16.940000000000001</v>
      </c>
      <c r="D193" s="5">
        <v>25.14</v>
      </c>
      <c r="E193" s="5">
        <v>24.95</v>
      </c>
      <c r="F193" s="5">
        <v>-155.38999999999999</v>
      </c>
      <c r="G193" s="5">
        <v>9.1</v>
      </c>
      <c r="H193" s="5">
        <v>-18.989999999999998</v>
      </c>
      <c r="I193" s="5">
        <v>11.3</v>
      </c>
      <c r="J193" s="5">
        <v>3.48</v>
      </c>
      <c r="K193" s="5">
        <v>107.12</v>
      </c>
      <c r="L193" s="5">
        <v>10.4</v>
      </c>
      <c r="M193" s="5">
        <v>-5.47</v>
      </c>
      <c r="N193" s="5">
        <v>21.02</v>
      </c>
      <c r="O193" s="6">
        <v>20.16</v>
      </c>
      <c r="P193" s="5">
        <v>74.39</v>
      </c>
      <c r="Q193" s="5">
        <v>17.77</v>
      </c>
      <c r="R193" s="5">
        <v>8.73</v>
      </c>
      <c r="S193" s="5">
        <v>20.47</v>
      </c>
    </row>
    <row r="194" spans="1:19" ht="16" x14ac:dyDescent="0.2">
      <c r="A194" s="2" t="s">
        <v>190</v>
      </c>
      <c r="B194" s="5">
        <v>0.21</v>
      </c>
      <c r="C194" s="5">
        <v>0.55000000000000004</v>
      </c>
      <c r="D194" s="5">
        <v>0.64</v>
      </c>
      <c r="E194" s="5">
        <v>0.12</v>
      </c>
      <c r="F194" s="5">
        <v>-0.44</v>
      </c>
      <c r="G194" s="5">
        <v>1.49</v>
      </c>
      <c r="H194" s="5">
        <v>-1.39</v>
      </c>
      <c r="I194" s="5">
        <v>1.83</v>
      </c>
      <c r="J194" s="5">
        <v>3.65</v>
      </c>
      <c r="K194" s="5">
        <v>-0.36</v>
      </c>
      <c r="L194" s="5">
        <v>1.1000000000000001</v>
      </c>
      <c r="M194" s="5">
        <v>-1.55</v>
      </c>
      <c r="N194" s="5">
        <v>1.04</v>
      </c>
      <c r="O194" s="6">
        <v>1.04</v>
      </c>
      <c r="P194" s="5">
        <v>1.7</v>
      </c>
      <c r="Q194" s="5">
        <v>0.91</v>
      </c>
      <c r="R194" s="5">
        <v>2.31</v>
      </c>
      <c r="S194" s="5">
        <v>-0.05</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144:S171 A2:S2 A9:S11 A13:S13 A37:S104 A130:S141 A142:M142 O142:S142 A191:S195 A172:N172 P172:S172 A173:S188 A106:S128 A105:H105 K105:S1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5ED9C-BE15-794D-A70F-2F8CB40C958E}">
  <dimension ref="A1:P110"/>
  <sheetViews>
    <sheetView tabSelected="1" workbookViewId="0">
      <selection activeCell="G21" sqref="G21"/>
    </sheetView>
  </sheetViews>
  <sheetFormatPr baseColWidth="10" defaultRowHeight="15" x14ac:dyDescent="0.2"/>
  <cols>
    <col min="1" max="16" width="18.83203125" customWidth="1"/>
  </cols>
  <sheetData>
    <row r="1" spans="1:16" s="112" customFormat="1" ht="22" customHeight="1" x14ac:dyDescent="0.2">
      <c r="A1" s="111" t="e" vm="1">
        <v>#VALUE!</v>
      </c>
      <c r="B1" s="111"/>
      <c r="C1" s="111"/>
      <c r="D1" s="111"/>
      <c r="E1" s="111"/>
      <c r="F1" s="111"/>
      <c r="G1" s="111"/>
      <c r="H1" s="111"/>
      <c r="I1" s="111"/>
      <c r="J1" s="111"/>
      <c r="K1" s="111"/>
      <c r="L1" s="111"/>
      <c r="M1" s="111"/>
      <c r="N1" s="111"/>
      <c r="O1" s="111"/>
      <c r="P1" s="111"/>
    </row>
    <row r="2" spans="1:16" s="112" customFormat="1" ht="22" customHeight="1" thickBot="1" x14ac:dyDescent="0.25">
      <c r="A2" s="111"/>
      <c r="B2" s="111"/>
      <c r="C2" s="111"/>
      <c r="D2" s="111"/>
      <c r="E2" s="111"/>
      <c r="F2" s="111"/>
      <c r="G2" s="111"/>
      <c r="H2" s="111"/>
      <c r="I2" s="111"/>
      <c r="J2" s="111"/>
      <c r="K2" s="111"/>
      <c r="L2" s="111"/>
      <c r="M2" s="111"/>
      <c r="N2" s="111"/>
      <c r="O2" s="111"/>
      <c r="P2" s="111"/>
    </row>
    <row r="3" spans="1:16" ht="22" customHeight="1" x14ac:dyDescent="0.2">
      <c r="A3" s="65" cm="1">
        <f t="array" ref="A3">_FV(A1,"Market cap",TRUE)</f>
        <v>15142468417</v>
      </c>
      <c r="B3" s="66" t="s">
        <v>201</v>
      </c>
      <c r="C3" s="67">
        <f>Financials!O8*0.01</f>
        <v>0.18010000000000001</v>
      </c>
      <c r="D3" s="66" t="s">
        <v>202</v>
      </c>
      <c r="E3" s="67">
        <f>SUM(C11:E11)/3</f>
        <v>0.29896356175309879</v>
      </c>
      <c r="F3" s="68" t="s">
        <v>203</v>
      </c>
      <c r="G3" s="69">
        <f>AVERAGE(Financials!K129:O129)</f>
        <v>1.0362265793095937E-2</v>
      </c>
      <c r="H3" s="68" t="s">
        <v>204</v>
      </c>
      <c r="I3" s="70">
        <f>J15*(1+I7)/(I6-I7)</f>
        <v>37519876621.219673</v>
      </c>
      <c r="J3" s="71" t="s">
        <v>205</v>
      </c>
      <c r="K3" s="72">
        <f>(Financials!O172*-1)/Model!A3</f>
        <v>0</v>
      </c>
      <c r="L3" s="73" t="s">
        <v>206</v>
      </c>
      <c r="M3" s="34"/>
      <c r="N3" s="113" t="s">
        <v>207</v>
      </c>
      <c r="O3" s="114"/>
      <c r="P3" s="34"/>
    </row>
    <row r="4" spans="1:16" ht="22" customHeight="1" x14ac:dyDescent="0.2">
      <c r="A4" s="74">
        <f>Financials!O56-Financials!O96-Financials!O105</f>
        <v>150157000</v>
      </c>
      <c r="B4" s="75" t="s">
        <v>208</v>
      </c>
      <c r="C4" s="36">
        <f>Financials!O17*0.01</f>
        <v>0.10680000000000001</v>
      </c>
      <c r="D4" s="75" t="s">
        <v>209</v>
      </c>
      <c r="E4" s="36">
        <f>SUM(C13:E13)/3</f>
        <v>1.0401184436685726</v>
      </c>
      <c r="F4" s="76" t="s">
        <v>210</v>
      </c>
      <c r="G4" s="77">
        <f>A5*(1+(5*G3))</f>
        <v>58415623.805444278</v>
      </c>
      <c r="H4" s="76" t="s">
        <v>211</v>
      </c>
      <c r="I4" s="35">
        <f>NPV(I6,F15,G15,H15,I15,(J15+I3))</f>
        <v>29286314922.931152</v>
      </c>
      <c r="J4" s="76" t="s">
        <v>212</v>
      </c>
      <c r="K4" s="78" cm="1">
        <f t="array" ref="K4">_FV(A1,"Change (%)",TRUE)</f>
        <v>6.4415E-2</v>
      </c>
      <c r="L4" s="79" t="s">
        <v>213</v>
      </c>
      <c r="M4" s="34"/>
      <c r="N4" s="115" t="s">
        <v>214</v>
      </c>
      <c r="O4" s="116"/>
      <c r="P4" s="34"/>
    </row>
    <row r="5" spans="1:16" ht="22" customHeight="1" x14ac:dyDescent="0.2">
      <c r="A5" s="74" cm="1">
        <f t="array" ref="A5">_FV(A1,"Shares outstanding",TRUE)</f>
        <v>55538120</v>
      </c>
      <c r="B5" s="75" t="s">
        <v>215</v>
      </c>
      <c r="C5" s="36">
        <f>F14</f>
        <v>9.647954329210276E-2</v>
      </c>
      <c r="D5" s="80" t="s">
        <v>216</v>
      </c>
      <c r="E5" s="36">
        <f>SUM(C16:E16)/3</f>
        <v>-4.1567717109996609</v>
      </c>
      <c r="F5" s="76" t="s">
        <v>217</v>
      </c>
      <c r="G5" s="77">
        <f>Financials!O56</f>
        <v>440459000</v>
      </c>
      <c r="H5" s="76" t="s">
        <v>218</v>
      </c>
      <c r="I5" s="35">
        <f>I4+G5-G6</f>
        <v>29436471922.931152</v>
      </c>
      <c r="J5" s="76" t="s">
        <v>219</v>
      </c>
      <c r="K5" s="81" cm="1">
        <f t="array" ref="K5">_FV(A1,"Price")</f>
        <v>272.64999999999998</v>
      </c>
      <c r="L5" s="82" t="s">
        <v>220</v>
      </c>
      <c r="M5" s="34"/>
      <c r="N5" s="96" t="s">
        <v>221</v>
      </c>
      <c r="O5" s="97">
        <f>Financials!O21</f>
        <v>10491000</v>
      </c>
      <c r="P5" s="34"/>
    </row>
    <row r="6" spans="1:16" ht="22" customHeight="1" x14ac:dyDescent="0.2">
      <c r="A6" s="83">
        <f>O20/F10</f>
        <v>1.4407676895337773</v>
      </c>
      <c r="B6" s="75" t="s">
        <v>222</v>
      </c>
      <c r="C6" s="36">
        <f>F17</f>
        <v>3.8058991436726926E-2</v>
      </c>
      <c r="D6" s="80" t="s">
        <v>200</v>
      </c>
      <c r="E6" s="36">
        <f>Financials!O33/Financials!O126</f>
        <v>0.32451462095052658</v>
      </c>
      <c r="F6" s="75" t="s">
        <v>223</v>
      </c>
      <c r="G6" s="77">
        <f>Financials!O96+Financials!O105</f>
        <v>290302000</v>
      </c>
      <c r="H6" s="76" t="s">
        <v>224</v>
      </c>
      <c r="I6" s="78">
        <f>N25</f>
        <v>8.8953435247783555E-2</v>
      </c>
      <c r="J6" s="76" t="s">
        <v>225</v>
      </c>
      <c r="K6" s="84">
        <f>I5/G4</f>
        <v>503.91436409154124</v>
      </c>
      <c r="L6" s="85" t="s">
        <v>226</v>
      </c>
      <c r="M6" s="34"/>
      <c r="N6" s="96" t="s">
        <v>227</v>
      </c>
      <c r="O6" s="97">
        <f>Financials!O96</f>
        <v>170123000</v>
      </c>
      <c r="P6" s="34"/>
    </row>
    <row r="7" spans="1:16" ht="22" customHeight="1" thickBot="1" x14ac:dyDescent="0.25">
      <c r="A7" s="86">
        <f>O20/F12</f>
        <v>14.933400805719922</v>
      </c>
      <c r="B7" s="87" t="s">
        <v>228</v>
      </c>
      <c r="C7" s="88">
        <f>F15/A3</f>
        <v>2.6415772447702903E-2</v>
      </c>
      <c r="D7" s="87" t="s">
        <v>229</v>
      </c>
      <c r="E7" s="89">
        <f>(Financials!O16*(1-0.25))/(Financials!O126+Financials!O105+Financials!O96)</f>
        <v>0.2523153877705448</v>
      </c>
      <c r="F7" s="87" t="s">
        <v>196</v>
      </c>
      <c r="G7" s="90">
        <f>(Financials!O96+Financials!O105)/Financials!O126</f>
        <v>0.14719927795271198</v>
      </c>
      <c r="H7" s="91" t="s">
        <v>230</v>
      </c>
      <c r="I7" s="92">
        <v>2.5000000000000001E-2</v>
      </c>
      <c r="J7" s="93" t="s">
        <v>231</v>
      </c>
      <c r="K7" s="94">
        <f>K6/K5-1</f>
        <v>0.84820966107295548</v>
      </c>
      <c r="L7" s="95" t="s">
        <v>232</v>
      </c>
      <c r="M7" s="34"/>
      <c r="N7" s="96" t="s">
        <v>233</v>
      </c>
      <c r="O7" s="97">
        <f>Financials!O105</f>
        <v>120179000</v>
      </c>
      <c r="P7" s="34"/>
    </row>
    <row r="8" spans="1:16" ht="22" customHeight="1" x14ac:dyDescent="0.2">
      <c r="A8" s="37"/>
      <c r="B8" s="34"/>
      <c r="C8" s="34"/>
      <c r="D8" s="34"/>
      <c r="E8" s="34"/>
      <c r="F8" s="34"/>
      <c r="G8" s="34"/>
      <c r="H8" s="34"/>
      <c r="I8" s="34"/>
      <c r="J8" s="34"/>
      <c r="K8" s="34"/>
      <c r="L8" s="34"/>
      <c r="M8" s="34"/>
      <c r="N8" s="98" t="s">
        <v>214</v>
      </c>
      <c r="O8" s="99">
        <f>O5/(O6+O7)</f>
        <v>3.6138228465528999E-2</v>
      </c>
      <c r="P8" s="34"/>
    </row>
    <row r="9" spans="1:16" ht="22" customHeight="1" x14ac:dyDescent="0.2">
      <c r="A9" s="41"/>
      <c r="B9" s="42">
        <v>2020</v>
      </c>
      <c r="C9" s="42">
        <v>2021</v>
      </c>
      <c r="D9" s="42">
        <v>2022</v>
      </c>
      <c r="E9" s="53">
        <v>2023</v>
      </c>
      <c r="F9" s="54">
        <v>2024</v>
      </c>
      <c r="G9" s="55">
        <v>2025</v>
      </c>
      <c r="H9" s="55">
        <v>2026</v>
      </c>
      <c r="I9" s="55">
        <v>2027</v>
      </c>
      <c r="J9" s="56">
        <v>2028</v>
      </c>
      <c r="K9" s="38"/>
      <c r="L9" s="38"/>
      <c r="M9" s="38"/>
      <c r="N9" s="96" t="s">
        <v>234</v>
      </c>
      <c r="O9" s="97">
        <f>Financials!O25</f>
        <v>110666000</v>
      </c>
      <c r="P9" s="34"/>
    </row>
    <row r="10" spans="1:16" ht="22" customHeight="1" x14ac:dyDescent="0.2">
      <c r="A10" s="43" t="s">
        <v>235</v>
      </c>
      <c r="B10" s="44">
        <v>3339281000</v>
      </c>
      <c r="C10" s="44">
        <v>3557422000</v>
      </c>
      <c r="D10" s="44">
        <v>5196099000</v>
      </c>
      <c r="E10" s="57">
        <v>7123482000</v>
      </c>
      <c r="F10" s="44">
        <v>10510000000</v>
      </c>
      <c r="G10" s="44">
        <v>12133000000</v>
      </c>
      <c r="H10" s="44">
        <v>13200000000</v>
      </c>
      <c r="I10" s="44">
        <v>16790000000</v>
      </c>
      <c r="J10" s="57">
        <v>21790000000</v>
      </c>
      <c r="K10" s="46" t="s">
        <v>236</v>
      </c>
      <c r="L10" s="38"/>
      <c r="N10" s="96" t="s">
        <v>237</v>
      </c>
      <c r="O10" s="97">
        <f>Financials!O24</f>
        <v>754297000</v>
      </c>
      <c r="P10" s="34"/>
    </row>
    <row r="11" spans="1:16" ht="22" customHeight="1" x14ac:dyDescent="0.2">
      <c r="A11" s="47"/>
      <c r="B11" s="39"/>
      <c r="C11" s="39">
        <f t="shared" ref="C11:J11" si="0">(C10/B10)-1</f>
        <v>6.5325739283396578E-2</v>
      </c>
      <c r="D11" s="39">
        <f t="shared" si="0"/>
        <v>0.46063610108668573</v>
      </c>
      <c r="E11" s="39">
        <f t="shared" si="0"/>
        <v>0.37092884488921407</v>
      </c>
      <c r="F11" s="40">
        <f t="shared" si="0"/>
        <v>0.47540205758925191</v>
      </c>
      <c r="G11" s="39">
        <f t="shared" si="0"/>
        <v>0.15442435775451946</v>
      </c>
      <c r="H11" s="39">
        <f t="shared" si="0"/>
        <v>8.7941976427923896E-2</v>
      </c>
      <c r="I11" s="39">
        <f t="shared" si="0"/>
        <v>0.27196969696969697</v>
      </c>
      <c r="J11" s="58">
        <f t="shared" si="0"/>
        <v>0.29779630732578921</v>
      </c>
      <c r="K11" s="58">
        <f>SUM(F11:J11)/5</f>
        <v>0.25750687921343629</v>
      </c>
      <c r="L11" s="38"/>
      <c r="M11" s="38"/>
      <c r="N11" s="96" t="s">
        <v>238</v>
      </c>
      <c r="O11" s="100">
        <f>O9/O10</f>
        <v>0.146714092724749</v>
      </c>
      <c r="P11" s="34"/>
    </row>
    <row r="12" spans="1:16" ht="22" customHeight="1" x14ac:dyDescent="0.2">
      <c r="A12" s="43" t="s">
        <v>142</v>
      </c>
      <c r="B12" s="44">
        <v>84308000</v>
      </c>
      <c r="C12" s="44">
        <v>111865000</v>
      </c>
      <c r="D12" s="44">
        <v>285163000</v>
      </c>
      <c r="E12" s="44">
        <v>639998000</v>
      </c>
      <c r="F12" s="45">
        <v>1014000000</v>
      </c>
      <c r="G12" s="44">
        <v>1123000000</v>
      </c>
      <c r="H12" s="44">
        <v>1529000000</v>
      </c>
      <c r="I12" s="44">
        <v>1767000000</v>
      </c>
      <c r="J12" s="57">
        <v>2121000000</v>
      </c>
      <c r="K12" s="59" t="s">
        <v>239</v>
      </c>
      <c r="L12" s="38"/>
      <c r="M12" s="38"/>
      <c r="N12" s="96" t="s">
        <v>240</v>
      </c>
      <c r="O12" s="100">
        <f>O8*(1-O11)</f>
        <v>3.0836241063529213E-2</v>
      </c>
      <c r="P12" s="34"/>
    </row>
    <row r="13" spans="1:16" ht="22" customHeight="1" x14ac:dyDescent="0.2">
      <c r="A13" s="47"/>
      <c r="B13" s="39"/>
      <c r="C13" s="39">
        <f t="shared" ref="C13:J13" si="1">(C12/B12)-1</f>
        <v>0.32686103335389283</v>
      </c>
      <c r="D13" s="39">
        <f t="shared" si="1"/>
        <v>1.549170875608993</v>
      </c>
      <c r="E13" s="39">
        <f t="shared" si="1"/>
        <v>1.2443234220428319</v>
      </c>
      <c r="F13" s="40">
        <f t="shared" si="1"/>
        <v>0.58437995118734753</v>
      </c>
      <c r="G13" s="39">
        <f t="shared" si="1"/>
        <v>0.10749506903353057</v>
      </c>
      <c r="H13" s="39">
        <f t="shared" si="1"/>
        <v>0.36153161175422976</v>
      </c>
      <c r="I13" s="39">
        <f t="shared" si="1"/>
        <v>0.15565729234793979</v>
      </c>
      <c r="J13" s="58">
        <f t="shared" si="1"/>
        <v>0.20033955857385388</v>
      </c>
      <c r="K13" s="58">
        <f>SUM(F13:J13)/5</f>
        <v>0.28188069657938031</v>
      </c>
      <c r="L13" s="38"/>
      <c r="M13" s="38"/>
      <c r="N13" s="115" t="s">
        <v>241</v>
      </c>
      <c r="O13" s="116"/>
      <c r="P13" s="34"/>
    </row>
    <row r="14" spans="1:16" ht="22" customHeight="1" x14ac:dyDescent="0.2">
      <c r="A14" s="49" t="s">
        <v>251</v>
      </c>
      <c r="B14" s="50">
        <f>B12/B10</f>
        <v>2.5247351151340663E-2</v>
      </c>
      <c r="C14" s="50">
        <f t="shared" ref="C14:J14" si="2">C12/C10</f>
        <v>3.1445524315079854E-2</v>
      </c>
      <c r="D14" s="50">
        <f t="shared" si="2"/>
        <v>5.4880209172304066E-2</v>
      </c>
      <c r="E14" s="50">
        <f t="shared" si="2"/>
        <v>8.9843422079258425E-2</v>
      </c>
      <c r="F14" s="51">
        <f t="shared" si="2"/>
        <v>9.647954329210276E-2</v>
      </c>
      <c r="G14" s="50">
        <f t="shared" si="2"/>
        <v>9.2557487843072606E-2</v>
      </c>
      <c r="H14" s="50">
        <f t="shared" si="2"/>
        <v>0.11583333333333333</v>
      </c>
      <c r="I14" s="50">
        <f t="shared" si="2"/>
        <v>0.10524121500893389</v>
      </c>
      <c r="J14" s="52">
        <f t="shared" si="2"/>
        <v>9.7338228545204228E-2</v>
      </c>
      <c r="K14" s="52"/>
      <c r="L14" s="38"/>
      <c r="M14" s="38"/>
      <c r="N14" s="96" t="s">
        <v>243</v>
      </c>
      <c r="O14" s="100">
        <f>'[1]US Treasury Bonds'!$C$8</f>
        <v>4.1210000000000004E-2</v>
      </c>
      <c r="P14" s="34"/>
    </row>
    <row r="15" spans="1:16" ht="22" customHeight="1" x14ac:dyDescent="0.2">
      <c r="A15" s="43" t="s">
        <v>185</v>
      </c>
      <c r="B15" s="44">
        <v>-72513022</v>
      </c>
      <c r="C15" s="44">
        <v>67278706</v>
      </c>
      <c r="D15" s="44">
        <v>-480576712</v>
      </c>
      <c r="E15" s="44">
        <v>672531822</v>
      </c>
      <c r="F15" s="45">
        <v>400000000</v>
      </c>
      <c r="G15" s="44">
        <v>902000000</v>
      </c>
      <c r="H15" s="44">
        <v>1277000000</v>
      </c>
      <c r="I15" s="44">
        <v>1600000000</v>
      </c>
      <c r="J15" s="57">
        <v>2341000000</v>
      </c>
      <c r="K15" s="59" t="s">
        <v>242</v>
      </c>
      <c r="L15" s="38"/>
      <c r="M15" s="38"/>
      <c r="N15" s="96" t="s">
        <v>244</v>
      </c>
      <c r="O15" s="101" cm="1">
        <f t="array" ref="O15">_FV(A1,"Beta")</f>
        <v>1.1417999999999999</v>
      </c>
      <c r="P15" s="34"/>
    </row>
    <row r="16" spans="1:16" ht="22" customHeight="1" x14ac:dyDescent="0.2">
      <c r="A16" s="48"/>
      <c r="B16" s="39"/>
      <c r="C16" s="39">
        <f t="shared" ref="C16:J16" si="3">(C15/B15)-1</f>
        <v>-1.9278155032622968</v>
      </c>
      <c r="D16" s="39">
        <f t="shared" si="3"/>
        <v>-8.1430730549425263</v>
      </c>
      <c r="E16" s="39">
        <f t="shared" si="3"/>
        <v>-2.3994265747941608</v>
      </c>
      <c r="F16" s="40">
        <f t="shared" si="3"/>
        <v>-0.40523260474059764</v>
      </c>
      <c r="G16" s="39">
        <f t="shared" si="3"/>
        <v>1.2549999999999999</v>
      </c>
      <c r="H16" s="39">
        <f t="shared" si="3"/>
        <v>0.41574279379157431</v>
      </c>
      <c r="I16" s="39">
        <f t="shared" si="3"/>
        <v>0.25293657008613946</v>
      </c>
      <c r="J16" s="58">
        <f t="shared" si="3"/>
        <v>0.46312500000000001</v>
      </c>
      <c r="K16" s="58">
        <f>SUM(F16:J16)/5</f>
        <v>0.39631435182742319</v>
      </c>
      <c r="L16" s="38"/>
      <c r="M16" s="38"/>
      <c r="N16" s="96" t="s">
        <v>245</v>
      </c>
      <c r="O16" s="100">
        <v>8.4000000000000005E-2</v>
      </c>
      <c r="P16" s="34"/>
    </row>
    <row r="17" spans="1:16" ht="22" customHeight="1" x14ac:dyDescent="0.2">
      <c r="A17" s="49" t="s">
        <v>200</v>
      </c>
      <c r="B17" s="50">
        <f>B15/B10</f>
        <v>-2.1715160239584509E-2</v>
      </c>
      <c r="C17" s="50">
        <f t="shared" ref="C17:J17" si="4">C15/C10</f>
        <v>1.8912208335137074E-2</v>
      </c>
      <c r="D17" s="50">
        <f t="shared" si="4"/>
        <v>-9.2487982234364663E-2</v>
      </c>
      <c r="E17" s="52">
        <f t="shared" si="4"/>
        <v>9.4410545573077889E-2</v>
      </c>
      <c r="F17" s="50">
        <f t="shared" si="4"/>
        <v>3.8058991436726926E-2</v>
      </c>
      <c r="G17" s="50">
        <f t="shared" si="4"/>
        <v>7.4342701722574803E-2</v>
      </c>
      <c r="H17" s="50">
        <f t="shared" si="4"/>
        <v>9.6742424242424241E-2</v>
      </c>
      <c r="I17" s="50">
        <f t="shared" si="4"/>
        <v>9.5294818344252533E-2</v>
      </c>
      <c r="J17" s="52">
        <f t="shared" si="4"/>
        <v>0.10743460302891235</v>
      </c>
      <c r="K17" s="52"/>
      <c r="L17" s="38"/>
      <c r="M17" s="38"/>
      <c r="N17" s="102" t="s">
        <v>241</v>
      </c>
      <c r="O17" s="103">
        <f>(O14)+((O15)*(O16-O14))</f>
        <v>9.0067622E-2</v>
      </c>
      <c r="P17" s="34"/>
    </row>
    <row r="18" spans="1:16" ht="22" customHeight="1" x14ac:dyDescent="0.2">
      <c r="A18" s="60" t="s">
        <v>196</v>
      </c>
      <c r="B18" s="61">
        <v>5.8661337511916635E-2</v>
      </c>
      <c r="C18" s="61">
        <v>7.7817833428763722E-2</v>
      </c>
      <c r="D18" s="61">
        <v>0.12428869360908297</v>
      </c>
      <c r="E18" s="61">
        <v>0.2523153877705448</v>
      </c>
      <c r="F18" s="62"/>
      <c r="G18" s="61"/>
      <c r="H18" s="61"/>
      <c r="I18" s="61"/>
      <c r="J18" s="63"/>
      <c r="K18" s="64"/>
      <c r="L18" s="38"/>
      <c r="M18" s="38"/>
      <c r="N18" s="115" t="s">
        <v>246</v>
      </c>
      <c r="O18" s="116"/>
      <c r="P18" s="34"/>
    </row>
    <row r="19" spans="1:16" ht="22" customHeight="1" x14ac:dyDescent="0.2">
      <c r="A19" s="38"/>
      <c r="B19" s="38"/>
      <c r="C19" s="38"/>
      <c r="D19" s="38"/>
      <c r="E19" s="38"/>
      <c r="F19" s="38"/>
      <c r="G19" s="38"/>
      <c r="H19" s="38"/>
      <c r="I19" s="38"/>
      <c r="J19" s="38"/>
      <c r="K19" s="38"/>
      <c r="L19" s="38"/>
      <c r="M19" s="38"/>
      <c r="N19" s="96" t="s">
        <v>224</v>
      </c>
      <c r="O19" s="104">
        <f>O6+O7</f>
        <v>290302000</v>
      </c>
      <c r="P19" s="34"/>
    </row>
    <row r="20" spans="1:16" ht="22" customHeight="1" x14ac:dyDescent="0.2">
      <c r="A20" s="38"/>
      <c r="B20" s="38"/>
      <c r="C20" s="38"/>
      <c r="D20" s="38"/>
      <c r="E20" s="38"/>
      <c r="F20" s="38"/>
      <c r="G20" s="38"/>
      <c r="H20" s="38"/>
      <c r="I20" s="38"/>
      <c r="J20" s="38"/>
      <c r="K20" s="38"/>
      <c r="L20" s="38"/>
      <c r="M20" s="38"/>
      <c r="N20" s="96" t="s">
        <v>201</v>
      </c>
      <c r="O20" s="104" cm="1">
        <f t="array" ref="O20">_FV(A1,"Market cap",TRUE)</f>
        <v>15142468417</v>
      </c>
      <c r="P20" s="34"/>
    </row>
    <row r="21" spans="1:16" ht="22" customHeight="1" x14ac:dyDescent="0.2">
      <c r="A21" s="119" t="str" cm="1">
        <f t="array" ref="A21">_FV(A1,"Industry")</f>
        <v>Computers, Phones &amp; Household Electronics</v>
      </c>
      <c r="B21" s="119"/>
      <c r="C21" s="119"/>
      <c r="D21" s="118" cm="1">
        <f t="array" ref="D21">_FV(A1,"Year incorporated",TRUE)</f>
        <v>2006</v>
      </c>
      <c r="E21" s="118"/>
      <c r="F21" s="38"/>
      <c r="G21" s="38"/>
      <c r="H21" s="38"/>
      <c r="I21" s="38"/>
      <c r="J21" s="38"/>
      <c r="K21" s="38"/>
      <c r="M21" s="38"/>
      <c r="N21" s="96" t="s">
        <v>247</v>
      </c>
      <c r="O21" s="104">
        <f>O19+O20</f>
        <v>15432770417</v>
      </c>
      <c r="P21" s="34"/>
    </row>
    <row r="22" spans="1:16" ht="22" customHeight="1" x14ac:dyDescent="0.2">
      <c r="A22" s="117" t="str" cm="1">
        <f t="array" ref="A22">_FV(A1,"Description")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B22" s="117"/>
      <c r="C22" s="117"/>
      <c r="D22" s="117"/>
      <c r="E22" s="117"/>
      <c r="F22" s="38"/>
      <c r="G22" s="38"/>
      <c r="H22" s="38"/>
      <c r="I22" s="38"/>
      <c r="J22" s="38"/>
      <c r="K22" s="38"/>
      <c r="L22" s="38"/>
      <c r="M22" s="38"/>
      <c r="N22" s="98" t="s">
        <v>248</v>
      </c>
      <c r="O22" s="105">
        <f>(O19/O21)</f>
        <v>1.8810750899282299E-2</v>
      </c>
      <c r="P22" s="34"/>
    </row>
    <row r="23" spans="1:16" ht="22" customHeight="1" x14ac:dyDescent="0.2">
      <c r="A23" s="117"/>
      <c r="B23" s="117"/>
      <c r="C23" s="117"/>
      <c r="D23" s="117"/>
      <c r="E23" s="117"/>
      <c r="F23" s="38"/>
      <c r="G23" s="38"/>
      <c r="H23" s="38"/>
      <c r="I23" s="38"/>
      <c r="J23" s="38"/>
      <c r="K23" s="38"/>
      <c r="L23" s="38"/>
      <c r="M23" s="38"/>
      <c r="N23" s="102" t="s">
        <v>249</v>
      </c>
      <c r="O23" s="106">
        <f>O20/O21</f>
        <v>0.9811892491007177</v>
      </c>
      <c r="P23" s="34"/>
    </row>
    <row r="24" spans="1:16" ht="22" customHeight="1" x14ac:dyDescent="0.2">
      <c r="A24" s="117"/>
      <c r="B24" s="117"/>
      <c r="C24" s="117"/>
      <c r="D24" s="117"/>
      <c r="E24" s="117"/>
      <c r="F24" s="38"/>
      <c r="G24" s="38"/>
      <c r="H24" s="38"/>
      <c r="I24" s="38"/>
      <c r="J24" s="38"/>
      <c r="K24" s="38"/>
      <c r="L24" s="38"/>
      <c r="M24" s="38"/>
      <c r="N24" s="107" t="s">
        <v>250</v>
      </c>
      <c r="O24" s="108"/>
      <c r="P24" s="34"/>
    </row>
    <row r="25" spans="1:16" ht="22" customHeight="1" x14ac:dyDescent="0.2">
      <c r="A25" s="117"/>
      <c r="B25" s="117"/>
      <c r="C25" s="117"/>
      <c r="D25" s="117"/>
      <c r="E25" s="117"/>
      <c r="F25" s="38"/>
      <c r="G25" s="38"/>
      <c r="H25" s="38"/>
      <c r="I25" s="38"/>
      <c r="J25" s="38"/>
      <c r="K25" s="38"/>
      <c r="L25" s="38"/>
      <c r="M25" s="38"/>
      <c r="N25" s="109">
        <f>(O22*O12)+(O23*O17)</f>
        <v>8.8953435247783555E-2</v>
      </c>
      <c r="O25" s="110"/>
      <c r="P25" s="34"/>
    </row>
    <row r="26" spans="1:16" ht="22" customHeight="1" x14ac:dyDescent="0.2">
      <c r="A26" s="117"/>
      <c r="B26" s="117"/>
      <c r="C26" s="117"/>
      <c r="D26" s="117"/>
      <c r="E26" s="117"/>
      <c r="F26" s="38"/>
      <c r="G26" s="38"/>
      <c r="H26" s="38"/>
      <c r="I26" s="38"/>
      <c r="J26" s="38"/>
      <c r="K26" s="38"/>
      <c r="L26" s="38"/>
      <c r="M26" s="38"/>
      <c r="N26" s="38"/>
      <c r="O26" s="34"/>
      <c r="P26" s="34"/>
    </row>
    <row r="27" spans="1:16" ht="22" customHeight="1" x14ac:dyDescent="0.2">
      <c r="A27" s="117"/>
      <c r="B27" s="117"/>
      <c r="C27" s="117"/>
      <c r="D27" s="117"/>
      <c r="E27" s="117"/>
      <c r="F27" s="38"/>
      <c r="G27" s="38"/>
      <c r="H27" s="38"/>
      <c r="I27" s="38"/>
      <c r="J27" s="38"/>
      <c r="K27" s="38"/>
      <c r="L27" s="38"/>
      <c r="M27" s="38"/>
      <c r="N27" s="38"/>
      <c r="O27" s="34"/>
      <c r="P27" s="34"/>
    </row>
    <row r="28" spans="1:16" ht="22" customHeight="1" x14ac:dyDescent="0.2">
      <c r="A28" s="117"/>
      <c r="B28" s="117"/>
      <c r="C28" s="117"/>
      <c r="D28" s="117"/>
      <c r="E28" s="117"/>
      <c r="F28" s="38"/>
      <c r="G28" s="38"/>
      <c r="H28" s="38"/>
      <c r="I28" s="38"/>
      <c r="J28" s="38"/>
      <c r="K28" s="38"/>
      <c r="L28" s="38"/>
      <c r="M28" s="38"/>
      <c r="N28" s="38"/>
      <c r="O28" s="34"/>
      <c r="P28" s="34"/>
    </row>
    <row r="29" spans="1:16" ht="22" customHeight="1" x14ac:dyDescent="0.2">
      <c r="A29" s="117"/>
      <c r="B29" s="117"/>
      <c r="C29" s="117"/>
      <c r="D29" s="117"/>
      <c r="E29" s="117"/>
      <c r="F29" s="38"/>
      <c r="G29" s="38"/>
      <c r="H29" s="38"/>
      <c r="I29" s="38"/>
      <c r="J29" s="38"/>
      <c r="K29" s="38"/>
      <c r="L29" s="38"/>
      <c r="M29" s="38"/>
      <c r="N29" s="38"/>
      <c r="O29" s="34"/>
      <c r="P29" s="34"/>
    </row>
    <row r="30" spans="1:16" ht="22" customHeight="1" x14ac:dyDescent="0.2">
      <c r="A30" s="117"/>
      <c r="B30" s="117"/>
      <c r="C30" s="117"/>
      <c r="D30" s="117"/>
      <c r="E30" s="117"/>
      <c r="F30" s="38"/>
      <c r="G30" s="38"/>
      <c r="H30" s="38"/>
      <c r="I30" s="38"/>
      <c r="J30" s="38"/>
      <c r="K30" s="38"/>
      <c r="L30" s="38"/>
      <c r="M30" s="38"/>
      <c r="N30" s="38"/>
      <c r="O30" s="34"/>
      <c r="P30" s="34"/>
    </row>
    <row r="31" spans="1:16" x14ac:dyDescent="0.2">
      <c r="A31" s="34"/>
      <c r="B31" s="34"/>
      <c r="C31" s="34"/>
      <c r="D31" s="34"/>
      <c r="E31" s="34"/>
      <c r="F31" s="34"/>
      <c r="G31" s="34"/>
      <c r="H31" s="34"/>
      <c r="I31" s="34"/>
      <c r="J31" s="34"/>
      <c r="K31" s="34"/>
      <c r="L31" s="34"/>
      <c r="M31" s="34"/>
      <c r="N31" s="34"/>
      <c r="O31" s="34"/>
      <c r="P31" s="34"/>
    </row>
    <row r="32" spans="1:16" x14ac:dyDescent="0.2">
      <c r="A32" s="34"/>
      <c r="B32" s="34"/>
      <c r="C32" s="34"/>
      <c r="D32" s="34"/>
      <c r="E32" s="34"/>
      <c r="F32" s="34"/>
      <c r="G32" s="34"/>
      <c r="H32" s="34"/>
      <c r="I32" s="34"/>
      <c r="J32" s="34"/>
      <c r="K32" s="34"/>
      <c r="L32" s="34"/>
      <c r="M32" s="34"/>
      <c r="N32" s="34"/>
      <c r="O32" s="34"/>
      <c r="P32" s="34"/>
    </row>
    <row r="33" spans="1:16" x14ac:dyDescent="0.2">
      <c r="A33" s="38"/>
      <c r="B33" s="38"/>
      <c r="C33" s="38"/>
      <c r="D33" s="38"/>
      <c r="E33" s="38"/>
      <c r="F33" s="38"/>
      <c r="G33" s="38"/>
      <c r="H33" s="38"/>
      <c r="I33" s="38"/>
      <c r="J33" s="38"/>
      <c r="K33" s="38"/>
      <c r="L33" s="38"/>
      <c r="M33" s="38"/>
      <c r="N33" s="38"/>
      <c r="O33" s="38"/>
      <c r="P33" s="38"/>
    </row>
    <row r="34" spans="1:16" x14ac:dyDescent="0.2">
      <c r="A34" s="38"/>
      <c r="B34" s="38"/>
      <c r="C34" s="38"/>
      <c r="D34" s="38"/>
      <c r="E34" s="38"/>
      <c r="F34" s="38"/>
      <c r="G34" s="38"/>
      <c r="H34" s="38"/>
      <c r="I34" s="38"/>
      <c r="J34" s="38"/>
      <c r="K34" s="38"/>
      <c r="L34" s="38"/>
      <c r="M34" s="38"/>
      <c r="N34" s="38"/>
      <c r="O34" s="38"/>
      <c r="P34" s="38"/>
    </row>
    <row r="35" spans="1:16" x14ac:dyDescent="0.2">
      <c r="A35" s="38"/>
      <c r="B35" s="38"/>
      <c r="C35" s="38"/>
      <c r="D35" s="38"/>
      <c r="E35" s="38"/>
      <c r="F35" s="38"/>
      <c r="G35" s="38"/>
      <c r="H35" s="38"/>
      <c r="I35" s="38"/>
      <c r="J35" s="38"/>
      <c r="K35" s="38"/>
      <c r="L35" s="38"/>
      <c r="M35" s="38"/>
      <c r="N35" s="38"/>
      <c r="O35" s="38"/>
      <c r="P35" s="38"/>
    </row>
    <row r="36" spans="1:16" x14ac:dyDescent="0.2">
      <c r="A36" s="38"/>
      <c r="B36" s="38"/>
      <c r="C36" s="38"/>
      <c r="D36" s="38"/>
      <c r="E36" s="38"/>
      <c r="F36" s="38"/>
      <c r="G36" s="38"/>
      <c r="H36" s="38"/>
      <c r="I36" s="38"/>
      <c r="J36" s="38"/>
      <c r="K36" s="38"/>
      <c r="L36" s="38"/>
      <c r="M36" s="38"/>
      <c r="N36" s="38"/>
      <c r="O36" s="38"/>
      <c r="P36" s="38"/>
    </row>
    <row r="37" spans="1:16" x14ac:dyDescent="0.2">
      <c r="A37" s="38"/>
      <c r="B37" s="38"/>
      <c r="C37" s="38"/>
      <c r="D37" s="38"/>
      <c r="E37" s="38"/>
      <c r="F37" s="38"/>
      <c r="G37" s="38"/>
      <c r="H37" s="38"/>
      <c r="I37" s="38"/>
      <c r="J37" s="38"/>
      <c r="K37" s="38"/>
      <c r="L37" s="38"/>
      <c r="M37" s="38"/>
      <c r="N37" s="38"/>
      <c r="O37" s="38"/>
      <c r="P37" s="38"/>
    </row>
    <row r="38" spans="1:16" x14ac:dyDescent="0.2">
      <c r="A38" s="38"/>
      <c r="B38" s="38"/>
      <c r="C38" s="38"/>
      <c r="D38" s="38"/>
      <c r="E38" s="38"/>
      <c r="F38" s="38"/>
      <c r="G38" s="38"/>
      <c r="H38" s="38"/>
      <c r="I38" s="38"/>
      <c r="J38" s="38"/>
      <c r="K38" s="38"/>
      <c r="L38" s="38"/>
      <c r="M38" s="38"/>
      <c r="N38" s="38"/>
      <c r="O38" s="38"/>
      <c r="P38" s="38"/>
    </row>
    <row r="39" spans="1:16" x14ac:dyDescent="0.2">
      <c r="A39" s="38"/>
      <c r="B39" s="38"/>
      <c r="C39" s="38"/>
      <c r="D39" s="38"/>
      <c r="E39" s="38"/>
      <c r="F39" s="38"/>
      <c r="G39" s="38"/>
      <c r="H39" s="38"/>
      <c r="I39" s="38"/>
      <c r="J39" s="38"/>
      <c r="K39" s="38"/>
      <c r="L39" s="38"/>
      <c r="M39" s="38"/>
      <c r="N39" s="38"/>
      <c r="O39" s="38"/>
      <c r="P39" s="38"/>
    </row>
    <row r="40" spans="1:16" x14ac:dyDescent="0.2">
      <c r="A40" s="38"/>
      <c r="B40" s="38"/>
      <c r="C40" s="38"/>
      <c r="D40" s="38"/>
      <c r="E40" s="38"/>
      <c r="F40" s="38"/>
      <c r="G40" s="38"/>
      <c r="H40" s="38"/>
      <c r="I40" s="38"/>
      <c r="J40" s="38"/>
      <c r="K40" s="38"/>
      <c r="L40" s="38"/>
      <c r="M40" s="38"/>
      <c r="N40" s="38"/>
      <c r="O40" s="38"/>
      <c r="P40" s="38"/>
    </row>
    <row r="41" spans="1:16" x14ac:dyDescent="0.2">
      <c r="A41" s="38"/>
      <c r="B41" s="38"/>
      <c r="C41" s="38"/>
      <c r="D41" s="38"/>
      <c r="E41" s="38"/>
      <c r="F41" s="38"/>
      <c r="G41" s="38"/>
      <c r="H41" s="38"/>
      <c r="I41" s="38"/>
      <c r="J41" s="38"/>
      <c r="K41" s="38"/>
      <c r="L41" s="38"/>
      <c r="M41" s="38"/>
      <c r="N41" s="38"/>
      <c r="O41" s="38"/>
      <c r="P41" s="38"/>
    </row>
    <row r="42" spans="1:16" x14ac:dyDescent="0.2">
      <c r="A42" s="38"/>
      <c r="B42" s="38"/>
      <c r="C42" s="38"/>
      <c r="D42" s="38"/>
      <c r="E42" s="38"/>
      <c r="F42" s="38"/>
      <c r="G42" s="38"/>
      <c r="H42" s="38"/>
      <c r="I42" s="38"/>
      <c r="J42" s="38"/>
      <c r="K42" s="38"/>
      <c r="L42" s="38"/>
      <c r="M42" s="38"/>
      <c r="N42" s="38"/>
      <c r="O42" s="38"/>
      <c r="P42" s="38"/>
    </row>
    <row r="43" spans="1:16" x14ac:dyDescent="0.2">
      <c r="A43" s="38"/>
      <c r="B43" s="38"/>
      <c r="C43" s="38"/>
      <c r="D43" s="38"/>
      <c r="E43" s="38"/>
      <c r="F43" s="38"/>
      <c r="G43" s="38"/>
      <c r="H43" s="38"/>
      <c r="I43" s="38"/>
      <c r="J43" s="38"/>
      <c r="K43" s="38"/>
      <c r="L43" s="38"/>
      <c r="M43" s="38"/>
      <c r="N43" s="38"/>
      <c r="O43" s="38"/>
      <c r="P43" s="38"/>
    </row>
    <row r="44" spans="1:16" x14ac:dyDescent="0.2">
      <c r="A44" s="38"/>
      <c r="B44" s="38"/>
      <c r="C44" s="38"/>
      <c r="D44" s="38"/>
      <c r="E44" s="38"/>
      <c r="F44" s="38"/>
      <c r="G44" s="38"/>
      <c r="H44" s="38"/>
      <c r="I44" s="38"/>
      <c r="J44" s="38"/>
      <c r="K44" s="38"/>
      <c r="L44" s="38"/>
      <c r="M44" s="38"/>
      <c r="N44" s="38"/>
      <c r="O44" s="38"/>
      <c r="P44" s="38"/>
    </row>
    <row r="45" spans="1:16" x14ac:dyDescent="0.2">
      <c r="A45" s="38"/>
      <c r="B45" s="38"/>
      <c r="C45" s="38"/>
      <c r="D45" s="38"/>
      <c r="E45" s="38"/>
      <c r="F45" s="38"/>
      <c r="G45" s="38"/>
      <c r="H45" s="38"/>
      <c r="I45" s="38"/>
      <c r="J45" s="38"/>
      <c r="K45" s="38"/>
      <c r="L45" s="38"/>
      <c r="M45" s="38"/>
      <c r="N45" s="38"/>
      <c r="O45" s="38"/>
      <c r="P45" s="38"/>
    </row>
    <row r="46" spans="1:16" x14ac:dyDescent="0.2">
      <c r="A46" s="38"/>
      <c r="B46" s="38"/>
      <c r="C46" s="38"/>
      <c r="D46" s="38"/>
      <c r="E46" s="38"/>
      <c r="F46" s="38"/>
      <c r="G46" s="38"/>
      <c r="H46" s="38"/>
      <c r="I46" s="38"/>
      <c r="J46" s="38"/>
      <c r="K46" s="38"/>
      <c r="L46" s="38"/>
      <c r="M46" s="38"/>
      <c r="N46" s="38"/>
      <c r="O46" s="38"/>
      <c r="P46" s="38"/>
    </row>
    <row r="47" spans="1:16" x14ac:dyDescent="0.2">
      <c r="A47" s="38"/>
      <c r="B47" s="38"/>
      <c r="C47" s="38"/>
      <c r="D47" s="38"/>
      <c r="E47" s="38"/>
      <c r="F47" s="38"/>
      <c r="G47" s="38"/>
      <c r="H47" s="38"/>
      <c r="I47" s="38"/>
      <c r="J47" s="38"/>
      <c r="K47" s="38"/>
      <c r="L47" s="38"/>
      <c r="M47" s="38"/>
      <c r="N47" s="38"/>
      <c r="O47" s="38"/>
      <c r="P47" s="38"/>
    </row>
    <row r="48" spans="1:16" x14ac:dyDescent="0.2">
      <c r="A48" s="38"/>
      <c r="B48" s="38"/>
      <c r="C48" s="38"/>
      <c r="D48" s="38"/>
      <c r="E48" s="38"/>
      <c r="F48" s="38"/>
      <c r="G48" s="38"/>
      <c r="H48" s="38"/>
      <c r="I48" s="38"/>
      <c r="J48" s="38"/>
      <c r="K48" s="38"/>
      <c r="L48" s="38"/>
      <c r="M48" s="38"/>
      <c r="N48" s="38"/>
      <c r="O48" s="38"/>
      <c r="P48" s="38"/>
    </row>
    <row r="49" spans="1:16" x14ac:dyDescent="0.2">
      <c r="A49" s="38"/>
      <c r="B49" s="38"/>
      <c r="C49" s="38"/>
      <c r="D49" s="38"/>
      <c r="E49" s="38"/>
      <c r="F49" s="38"/>
      <c r="G49" s="38"/>
      <c r="H49" s="38"/>
      <c r="I49" s="38"/>
      <c r="J49" s="38"/>
      <c r="K49" s="38"/>
      <c r="L49" s="38"/>
      <c r="M49" s="38"/>
      <c r="N49" s="38"/>
      <c r="O49" s="38"/>
      <c r="P49" s="38"/>
    </row>
    <row r="50" spans="1:16" x14ac:dyDescent="0.2">
      <c r="A50" s="38"/>
      <c r="B50" s="38"/>
      <c r="C50" s="38"/>
      <c r="D50" s="38"/>
      <c r="E50" s="38"/>
      <c r="F50" s="38"/>
      <c r="G50" s="38"/>
      <c r="H50" s="38"/>
      <c r="I50" s="38"/>
      <c r="J50" s="38"/>
      <c r="K50" s="38"/>
      <c r="L50" s="38"/>
      <c r="M50" s="38"/>
      <c r="N50" s="38"/>
      <c r="O50" s="38"/>
      <c r="P50" s="38"/>
    </row>
    <row r="51" spans="1:16" x14ac:dyDescent="0.2">
      <c r="A51" s="38"/>
      <c r="B51" s="38"/>
      <c r="C51" s="38"/>
      <c r="D51" s="38"/>
      <c r="E51" s="38"/>
      <c r="F51" s="38"/>
      <c r="G51" s="38"/>
      <c r="H51" s="38"/>
      <c r="I51" s="38"/>
      <c r="J51" s="38"/>
      <c r="K51" s="38"/>
      <c r="L51" s="38"/>
      <c r="M51" s="38"/>
      <c r="N51" s="38"/>
      <c r="O51" s="38"/>
      <c r="P51" s="38"/>
    </row>
    <row r="52" spans="1:16" x14ac:dyDescent="0.2">
      <c r="A52" s="38"/>
      <c r="B52" s="38"/>
      <c r="C52" s="38"/>
      <c r="D52" s="38"/>
      <c r="E52" s="38"/>
      <c r="F52" s="38"/>
      <c r="G52" s="38"/>
      <c r="H52" s="38"/>
      <c r="I52" s="38"/>
      <c r="J52" s="38"/>
      <c r="K52" s="38"/>
      <c r="L52" s="38"/>
      <c r="M52" s="38"/>
      <c r="N52" s="38"/>
      <c r="O52" s="38"/>
      <c r="P52" s="38"/>
    </row>
    <row r="53" spans="1:16" x14ac:dyDescent="0.2">
      <c r="A53" s="38"/>
      <c r="B53" s="38"/>
      <c r="C53" s="38"/>
      <c r="D53" s="38"/>
      <c r="E53" s="38"/>
      <c r="F53" s="38"/>
      <c r="G53" s="38"/>
      <c r="H53" s="38"/>
      <c r="I53" s="38"/>
      <c r="J53" s="38"/>
      <c r="K53" s="38"/>
      <c r="L53" s="38"/>
      <c r="M53" s="38"/>
      <c r="N53" s="38"/>
      <c r="O53" s="38"/>
      <c r="P53" s="38"/>
    </row>
    <row r="54" spans="1:16" x14ac:dyDescent="0.2">
      <c r="A54" s="38"/>
      <c r="B54" s="38"/>
      <c r="C54" s="38"/>
      <c r="D54" s="38"/>
      <c r="E54" s="38"/>
      <c r="F54" s="38"/>
      <c r="G54" s="38"/>
      <c r="H54" s="38"/>
      <c r="I54" s="38"/>
      <c r="J54" s="38"/>
      <c r="K54" s="38"/>
      <c r="L54" s="38"/>
      <c r="M54" s="38"/>
      <c r="N54" s="38"/>
      <c r="O54" s="38"/>
      <c r="P54" s="38"/>
    </row>
    <row r="55" spans="1:16" x14ac:dyDescent="0.2">
      <c r="A55" s="38"/>
      <c r="B55" s="38"/>
      <c r="C55" s="38"/>
      <c r="D55" s="38"/>
      <c r="E55" s="38"/>
      <c r="F55" s="38"/>
      <c r="G55" s="38"/>
      <c r="H55" s="38"/>
      <c r="I55" s="38"/>
      <c r="J55" s="38"/>
      <c r="K55" s="38"/>
      <c r="L55" s="38"/>
      <c r="M55" s="38"/>
      <c r="N55" s="38"/>
      <c r="O55" s="38"/>
      <c r="P55" s="38"/>
    </row>
    <row r="56" spans="1:16" x14ac:dyDescent="0.2">
      <c r="A56" s="38"/>
      <c r="B56" s="38"/>
      <c r="C56" s="38"/>
      <c r="D56" s="38"/>
      <c r="E56" s="38"/>
      <c r="F56" s="38"/>
      <c r="G56" s="38"/>
      <c r="H56" s="38"/>
      <c r="I56" s="38"/>
      <c r="J56" s="38"/>
      <c r="K56" s="38"/>
      <c r="L56" s="38"/>
      <c r="M56" s="38"/>
      <c r="N56" s="38"/>
      <c r="O56" s="38"/>
      <c r="P56" s="38"/>
    </row>
    <row r="57" spans="1:16" x14ac:dyDescent="0.2">
      <c r="A57" s="38"/>
      <c r="B57" s="38"/>
      <c r="C57" s="38"/>
      <c r="D57" s="38"/>
      <c r="E57" s="38"/>
      <c r="F57" s="38"/>
      <c r="G57" s="38"/>
      <c r="H57" s="38"/>
      <c r="I57" s="38"/>
      <c r="J57" s="38"/>
      <c r="K57" s="38"/>
      <c r="L57" s="38"/>
      <c r="M57" s="38"/>
      <c r="N57" s="38"/>
      <c r="O57" s="38"/>
      <c r="P57" s="38"/>
    </row>
    <row r="58" spans="1:16" x14ac:dyDescent="0.2">
      <c r="A58" s="38"/>
      <c r="B58" s="38"/>
      <c r="C58" s="38"/>
      <c r="D58" s="38"/>
      <c r="E58" s="38"/>
      <c r="F58" s="38"/>
      <c r="G58" s="38"/>
      <c r="H58" s="38"/>
      <c r="I58" s="38"/>
      <c r="J58" s="38"/>
      <c r="K58" s="38"/>
      <c r="L58" s="38"/>
      <c r="M58" s="38"/>
      <c r="N58" s="38"/>
      <c r="O58" s="38"/>
      <c r="P58" s="38"/>
    </row>
    <row r="59" spans="1:16" x14ac:dyDescent="0.2">
      <c r="A59" s="38"/>
      <c r="B59" s="38"/>
      <c r="C59" s="38"/>
      <c r="D59" s="38"/>
      <c r="E59" s="38"/>
      <c r="F59" s="38"/>
      <c r="G59" s="38"/>
      <c r="H59" s="38"/>
      <c r="I59" s="38"/>
      <c r="J59" s="38"/>
      <c r="K59" s="38"/>
      <c r="L59" s="38"/>
      <c r="M59" s="38"/>
      <c r="N59" s="38"/>
      <c r="O59" s="38"/>
      <c r="P59" s="38"/>
    </row>
    <row r="60" spans="1:16" x14ac:dyDescent="0.2">
      <c r="A60" s="38"/>
      <c r="B60" s="38"/>
      <c r="C60" s="38"/>
      <c r="D60" s="38"/>
      <c r="E60" s="38"/>
      <c r="F60" s="38"/>
      <c r="G60" s="38"/>
      <c r="H60" s="38"/>
      <c r="I60" s="38"/>
      <c r="J60" s="38"/>
      <c r="K60" s="38"/>
      <c r="L60" s="38"/>
      <c r="M60" s="38"/>
      <c r="N60" s="38"/>
      <c r="O60" s="38"/>
      <c r="P60" s="38"/>
    </row>
    <row r="61" spans="1:16" x14ac:dyDescent="0.2">
      <c r="A61" s="38"/>
      <c r="B61" s="38"/>
      <c r="C61" s="38"/>
      <c r="D61" s="38"/>
      <c r="E61" s="38"/>
      <c r="F61" s="38"/>
      <c r="G61" s="38"/>
      <c r="H61" s="38"/>
      <c r="I61" s="38"/>
      <c r="J61" s="38"/>
      <c r="K61" s="38"/>
      <c r="L61" s="38"/>
      <c r="M61" s="38"/>
      <c r="N61" s="38"/>
      <c r="O61" s="38"/>
      <c r="P61" s="38"/>
    </row>
    <row r="62" spans="1:16" x14ac:dyDescent="0.2">
      <c r="O62" s="34"/>
      <c r="P62" s="34"/>
    </row>
    <row r="63" spans="1:16" x14ac:dyDescent="0.2">
      <c r="O63" s="34"/>
      <c r="P63" s="34"/>
    </row>
    <row r="64" spans="1:16"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2:E30"/>
    <mergeCell ref="D21:E21"/>
    <mergeCell ref="A21:C21"/>
  </mergeCells>
  <hyperlinks>
    <hyperlink ref="F9" r:id="rId1" display="https://finbox.com/NASDAQGS:SMCI/explorer/revenue_proj" xr:uid="{17FA3662-1916-004C-B3A0-B837ECE0AF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2023-12-09T08:30:14Z</dcterms:modified>
</cp:coreProperties>
</file>