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82A612DB-24E0-B64A-9693-9B024A63E4A6}"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P129" i="1"/>
  <c r="C6" i="2"/>
  <c r="C5" i="2"/>
  <c r="J17" i="2"/>
  <c r="I17" i="2"/>
  <c r="H17" i="2"/>
  <c r="G17" i="2"/>
  <c r="F17" i="2"/>
  <c r="E17" i="2"/>
  <c r="D17" i="2"/>
  <c r="C17" i="2"/>
  <c r="B17" i="2"/>
  <c r="J14" i="2"/>
  <c r="I14" i="2"/>
  <c r="H14" i="2"/>
  <c r="G14" i="2"/>
  <c r="F14" i="2"/>
  <c r="E14" i="2"/>
  <c r="D14" i="2"/>
  <c r="C14" i="2"/>
  <c r="B14" i="2"/>
  <c r="K4" i="2" l="1" a="1"/>
  <c r="K4" i="2" s="1"/>
  <c r="O10" i="2" l="1"/>
  <c r="O9" i="2"/>
  <c r="O7" i="2"/>
  <c r="G7" i="2"/>
  <c r="E7" i="2"/>
  <c r="O6" i="2"/>
  <c r="O19" i="2" s="1"/>
  <c r="G6" i="2"/>
  <c r="E6" i="2"/>
  <c r="O5" i="2"/>
  <c r="G5" i="2"/>
  <c r="C4" i="2"/>
  <c r="A4" i="2"/>
  <c r="C3" i="2"/>
  <c r="O20" i="2" a="1"/>
  <c r="O20" i="2" s="1"/>
  <c r="A22" i="2" a="1"/>
  <c r="A22" i="2" s="1"/>
  <c r="D21" i="2" a="1"/>
  <c r="D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16" i="2"/>
  <c r="K3" i="2"/>
  <c r="K13" i="2"/>
  <c r="E5" i="2"/>
  <c r="K11" i="2"/>
  <c r="G4" i="2"/>
  <c r="O8" i="2"/>
  <c r="O12" i="2" s="1"/>
  <c r="O21" i="2"/>
  <c r="O22" i="2" s="1"/>
  <c r="A6" i="2"/>
  <c r="A7" i="2"/>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<sst xmlns="http://schemas.openxmlformats.org/spreadsheetml/2006/main" count="1331" uniqueCount="252">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</sst>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2" fillId="11" borderId="6" xfId="0" applyFont="1" applyFill="1" applyBorder="1" applyAlignment="1">
      <alignment horizontal="left" vertical="center" indent="2"/>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19" fillId="9" borderId="10" xfId="0" applyFont="1" applyFill="1" applyBorder="1" applyAlignment="1">
      <alignment horizontal="right" vertical="center" indent="1"/>
    </xf>
    <xf numFmtId="0" fontId="19" fillId="9" borderId="11" xfId="0" applyFont="1" applyFill="1" applyBorder="1" applyAlignment="1">
      <alignment horizontal="right" vertical="center" indent="1"/>
    </xf>
    <xf numFmtId="9" fontId="19"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3" fillId="11" borderId="5" xfId="0" applyFont="1" applyFill="1" applyBorder="1" applyAlignment="1">
      <alignment horizontal="left" vertical="center" indent="1"/>
    </xf>
    <xf numFmtId="9" fontId="19"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0" fontId="12" fillId="10" borderId="20" xfId="1" applyNumberFormat="1" applyFont="1" applyFill="1" applyBorder="1" applyAlignment="1">
      <alignment horizontal="left" vertical="center" indent="1"/>
    </xf>
    <xf numFmtId="164" fontId="4" fillId="9" borderId="2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22" xfId="1" applyNumberFormat="1" applyFont="1" applyFill="1" applyBorder="1" applyAlignment="1">
      <alignment horizontal="left" vertical="center" indent="1"/>
    </xf>
    <xf numFmtId="9" fontId="25" fillId="10" borderId="12" xfId="1" applyFont="1" applyFill="1" applyBorder="1" applyAlignment="1">
      <alignment horizontal="left" vertical="center" indent="1"/>
    </xf>
    <xf numFmtId="9" fontId="12" fillId="10" borderId="22" xfId="1" applyFont="1" applyFill="1" applyBorder="1" applyAlignment="1">
      <alignment horizontal="left" vertical="center" indent="1"/>
    </xf>
    <xf numFmtId="167" fontId="4" fillId="9" borderId="21" xfId="0" applyNumberFormat="1" applyFont="1" applyFill="1" applyBorder="1" applyAlignment="1">
      <alignment horizontal="right" vertical="center" indent="1"/>
    </xf>
    <xf numFmtId="9" fontId="15" fillId="10" borderId="22"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2" fillId="10" borderId="24" xfId="1" applyFont="1" applyFill="1" applyBorder="1" applyAlignment="1">
      <alignment horizontal="left" vertical="center" indent="1"/>
    </xf>
    <xf numFmtId="2" fontId="4" fillId="9" borderId="24" xfId="0" applyNumberFormat="1" applyFont="1" applyFill="1" applyBorder="1" applyAlignment="1">
      <alignment horizontal="right" vertical="center" indent="1"/>
    </xf>
    <xf numFmtId="0" fontId="12" fillId="10" borderId="24" xfId="1" applyNumberFormat="1" applyFont="1" applyFill="1" applyBorder="1" applyAlignment="1">
      <alignment horizontal="left" vertical="center" indent="1"/>
    </xf>
    <xf numFmtId="9" fontId="16" fillId="10" borderId="24" xfId="1" applyFont="1" applyFill="1" applyBorder="1" applyAlignment="1">
      <alignment horizontal="left" vertical="center" indent="1"/>
    </xf>
    <xf numFmtId="9" fontId="15" fillId="10" borderId="25" xfId="1" applyFont="1" applyFill="1" applyBorder="1" applyAlignment="1">
      <alignment horizontal="left" vertical="center" indent="1"/>
    </xf>
    <xf numFmtId="0" fontId="13" fillId="11" borderId="5" xfId="0" applyFont="1" applyFill="1" applyBorder="1" applyAlignment="1">
      <alignment horizontal="left" vertical="center" wrapText="1"/>
    </xf>
    <xf numFmtId="164" fontId="14" fillId="11" borderId="12" xfId="0" applyNumberFormat="1" applyFont="1" applyFill="1" applyBorder="1" applyAlignment="1">
      <alignment vertical="center"/>
    </xf>
    <xf numFmtId="0" fontId="17" fillId="11" borderId="5" xfId="0" applyFont="1" applyFill="1" applyBorder="1" applyAlignment="1">
      <alignment horizontal="left" vertical="center" wrapText="1"/>
    </xf>
    <xf numFmtId="10" fontId="18" fillId="11" borderId="12" xfId="0" applyNumberFormat="1" applyFont="1" applyFill="1" applyBorder="1" applyAlignment="1">
      <alignment vertical="center"/>
    </xf>
    <xf numFmtId="10" fontId="14" fillId="11" borderId="12" xfId="0" applyNumberFormat="1" applyFont="1" applyFill="1" applyBorder="1" applyAlignment="1">
      <alignment vertical="center"/>
    </xf>
    <xf numFmtId="2" fontId="14" fillId="11" borderId="12" xfId="0" applyNumberFormat="1" applyFont="1" applyFill="1" applyBorder="1" applyAlignment="1">
      <alignment vertical="center"/>
    </xf>
    <xf numFmtId="0" fontId="17" fillId="11" borderId="14" xfId="0" applyFont="1" applyFill="1" applyBorder="1" applyAlignment="1">
      <alignment horizontal="left" vertical="center" wrapText="1"/>
    </xf>
    <xf numFmtId="10" fontId="18" fillId="11" borderId="16" xfId="0" applyNumberFormat="1" applyFont="1" applyFill="1" applyBorder="1" applyAlignment="1">
      <alignment vertical="center"/>
    </xf>
    <xf numFmtId="164" fontId="14" fillId="11" borderId="12"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10" fontId="18" fillId="11" borderId="16" xfId="0" applyNumberFormat="1" applyFont="1" applyFill="1" applyBorder="1" applyAlignment="1">
      <alignment horizontal="right" vertical="center"/>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5" fontId="4" fillId="14" borderId="28" xfId="1" applyNumberFormat="1" applyFont="1" applyFill="1" applyBorder="1" applyAlignment="1">
      <alignment horizontal="right" vertical="center" indent="1"/>
    </xf>
    <xf numFmtId="165" fontId="4" fillId="9" borderId="29"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4" fillId="9" borderId="29" xfId="0" applyNumberFormat="1" applyFont="1" applyFill="1" applyBorder="1" applyAlignment="1">
      <alignment horizontal="right" vertical="center" indent="1"/>
    </xf>
    <xf numFmtId="166" fontId="3" fillId="13" borderId="27" xfId="0" applyNumberFormat="1" applyFont="1" applyFill="1" applyBorder="1" applyAlignment="1">
      <alignment horizontal="right" vertical="center" indent="1"/>
    </xf>
    <xf numFmtId="9" fontId="3" fillId="13" borderId="28" xfId="1" applyFont="1" applyFill="1" applyBorder="1" applyAlignment="1">
      <alignment horizontal="right" vertical="center" indent="1"/>
    </xf>
    <xf numFmtId="0" fontId="20" fillId="14" borderId="6" xfId="0" applyFont="1" applyFill="1" applyBorder="1" applyAlignment="1">
      <alignment horizontal="right" vertical="center" indent="1"/>
    </xf>
    <xf numFmtId="0" fontId="21" fillId="14" borderId="7" xfId="0" applyFont="1" applyFill="1" applyBorder="1" applyAlignment="1">
      <alignment horizontal="right" vertical="center" indent="1"/>
    </xf>
    <xf numFmtId="0" fontId="21" fillId="14" borderId="8" xfId="0" applyFont="1" applyFill="1" applyBorder="1" applyAlignment="1">
      <alignment horizontal="right" vertical="center" indent="1"/>
    </xf>
    <xf numFmtId="0" fontId="1" fillId="12" borderId="14" xfId="0" applyFont="1" applyFill="1" applyBorder="1" applyAlignment="1">
      <alignmen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9" fillId="9" borderId="14" xfId="1" applyNumberFormat="1" applyFont="1" applyFill="1" applyBorder="1" applyAlignment="1">
      <alignment horizontal="center" vertical="center"/>
    </xf>
    <xf numFmtId="10" fontId="19" fillId="9" borderId="1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9" fillId="11" borderId="6" xfId="1" applyFont="1" applyFill="1" applyBorder="1" applyAlignment="1">
      <alignment horizontal="center" vertical="center"/>
    </xf>
    <xf numFmtId="9" fontId="19"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https://www.bing.com/financeapi/forcetrigger?t=a1q8r7&amp;q=XNAS%3aCPRT&amp;form=skydnc</v>
    <v>Learn more on Bing</v>
  </rv>
  <rv s="1">
    <v>0</v>
    <v>COPART, INC. (XNAS:CPRT)</v>
    <v>2</v>
    <v>3</v>
    <v>Finance</v>
    <v>4</v>
    <v>en-US</v>
    <v>a1q8r7</v>
    <v>268435456</v>
    <v>1</v>
    <v>Powered by Refinitiv</v>
    <v>51.53</v>
    <v>29.614999999999998</v>
    <v>1.2242999999999999</v>
    <v>-0.28999999999999998</v>
    <v>-6.0819999999999997E-3</v>
    <v>-0.04</v>
    <v>-8.4409999999999997E-4</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47.63</v>
    <v>Software &amp; IT Services</v>
    <v>Stock</v>
    <v>45268.986942928124</v>
    <v>0</v>
    <v>47.08</v>
    <v>45505366046</v>
    <v>COPART, INC.</v>
    <v>COPART, INC.</v>
    <v>47.21</v>
    <v>45.638800000000003</v>
    <v>47.68</v>
    <v>47.39</v>
    <v>47.35</v>
    <v>960231400</v>
    <v>CPRT</v>
    <v>COPART, INC. (XNAS:CPRT)</v>
    <v>4750475</v>
    <v>4570238</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CPR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4" workbookViewId="0">
      <pane xSplit="1" topLeftCell="I1" activePane="topRight" state="frozen"/>
      <selection pane="topRight" activeCell="P125" sqref="P125"/>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872246000</v>
      </c>
      <c r="C2" s="26">
        <v>924191000</v>
      </c>
      <c r="D2" s="26">
        <v>1046386000</v>
      </c>
      <c r="E2" s="26">
        <v>1163489000</v>
      </c>
      <c r="F2" s="26">
        <v>1146079000</v>
      </c>
      <c r="G2" s="26">
        <v>1268449000</v>
      </c>
      <c r="H2" s="26">
        <v>1447981000</v>
      </c>
      <c r="I2" s="26">
        <v>1805695000</v>
      </c>
      <c r="J2" s="26">
        <v>2041957000</v>
      </c>
      <c r="K2" s="26">
        <v>2205583000</v>
      </c>
      <c r="L2" s="26">
        <v>2692511000</v>
      </c>
      <c r="M2" s="26">
        <v>3500921000</v>
      </c>
      <c r="N2" s="26">
        <v>3869518000</v>
      </c>
      <c r="O2" s="27">
        <v>3869518000</v>
      </c>
      <c r="P2" s="26">
        <v>893372000</v>
      </c>
      <c r="Q2" s="26">
        <v>956724000</v>
      </c>
      <c r="R2" s="26">
        <v>1021831000</v>
      </c>
      <c r="S2" s="26">
        <v>997591000</v>
      </c>
    </row>
    <row r="3" spans="1:19" ht="16" x14ac:dyDescent="0.2">
      <c r="A3" s="9" t="s">
        <v>191</v>
      </c>
      <c r="B3" s="10"/>
      <c r="C3" s="11">
        <f t="shared" ref="C3:O3" si="0">(C2/B2)-1</f>
        <v>5.955315358281954E-2</v>
      </c>
      <c r="D3" s="11">
        <f t="shared" si="0"/>
        <v>0.13221834014830258</v>
      </c>
      <c r="E3" s="11">
        <f t="shared" si="0"/>
        <v>0.11191185661887681</v>
      </c>
      <c r="F3" s="11">
        <f t="shared" si="0"/>
        <v>-1.4963613751397764E-2</v>
      </c>
      <c r="G3" s="11">
        <f t="shared" si="0"/>
        <v>0.10677274428726125</v>
      </c>
      <c r="H3" s="11">
        <f t="shared" si="0"/>
        <v>0.14153663253311732</v>
      </c>
      <c r="I3" s="11">
        <f t="shared" si="0"/>
        <v>0.24704329683883963</v>
      </c>
      <c r="J3" s="11">
        <f t="shared" si="0"/>
        <v>0.13084269491802325</v>
      </c>
      <c r="K3" s="11">
        <f t="shared" si="0"/>
        <v>8.0131951848153582E-2</v>
      </c>
      <c r="L3" s="11">
        <f t="shared" si="0"/>
        <v>0.22077065338280177</v>
      </c>
      <c r="M3" s="11">
        <f t="shared" si="0"/>
        <v>0.30024389872501911</v>
      </c>
      <c r="N3" s="11">
        <f t="shared" si="0"/>
        <v>0.10528572338536057</v>
      </c>
      <c r="O3" s="11">
        <f t="shared" si="0"/>
        <v>0</v>
      </c>
      <c r="P3" s="11"/>
      <c r="Q3" s="11">
        <f>(Q2/P2)-1</f>
        <v>7.09133485267055E-2</v>
      </c>
      <c r="R3" s="11">
        <f>(R2/Q2)-1</f>
        <v>6.8052019182125667E-2</v>
      </c>
      <c r="S3" s="11">
        <f>(S2/R2)-1</f>
        <v>-2.3722122347041741E-2</v>
      </c>
    </row>
    <row r="4" spans="1:19" ht="16" x14ac:dyDescent="0.2">
      <c r="A4" s="3" t="s">
        <v>19</v>
      </c>
      <c r="B4" s="4">
        <v>872246000</v>
      </c>
      <c r="C4" s="4">
        <v>924191000</v>
      </c>
      <c r="D4" s="4">
        <v>1046386000</v>
      </c>
      <c r="E4" s="4">
        <v>1163489000</v>
      </c>
      <c r="F4" s="4">
        <v>1146079000</v>
      </c>
      <c r="G4" s="4">
        <v>1268449000</v>
      </c>
      <c r="H4" s="4">
        <v>1447981000</v>
      </c>
      <c r="I4" s="4">
        <v>1805695000</v>
      </c>
      <c r="J4" s="4">
        <v>2041957000</v>
      </c>
      <c r="K4" s="4">
        <v>2205583000</v>
      </c>
      <c r="L4" s="4">
        <v>2692511000</v>
      </c>
      <c r="M4" s="4">
        <v>3500921000</v>
      </c>
      <c r="N4" s="4">
        <v>3869518000</v>
      </c>
      <c r="O4" s="5">
        <v>3869518000</v>
      </c>
      <c r="P4" s="4">
        <v>893372000</v>
      </c>
      <c r="Q4" s="4">
        <v>956724000</v>
      </c>
      <c r="R4" s="4">
        <v>1021831000</v>
      </c>
      <c r="S4" s="4">
        <v>997591000</v>
      </c>
    </row>
    <row r="5" spans="1:19" ht="16" x14ac:dyDescent="0.2">
      <c r="A5" s="3" t="s">
        <v>20</v>
      </c>
      <c r="B5" s="4">
        <v>499351000</v>
      </c>
      <c r="C5" s="4">
        <v>514575000</v>
      </c>
      <c r="D5" s="4">
        <v>625464000</v>
      </c>
      <c r="E5" s="4">
        <v>694916000</v>
      </c>
      <c r="F5" s="4">
        <v>662703000</v>
      </c>
      <c r="G5" s="4">
        <v>723863000</v>
      </c>
      <c r="H5" s="4">
        <v>815953000</v>
      </c>
      <c r="I5" s="4">
        <v>1043329000</v>
      </c>
      <c r="J5" s="4">
        <v>1143615000</v>
      </c>
      <c r="K5" s="4">
        <v>1197781000</v>
      </c>
      <c r="L5" s="4">
        <v>1349420000</v>
      </c>
      <c r="M5" s="4">
        <v>1894700000</v>
      </c>
      <c r="N5" s="4">
        <v>2132527000</v>
      </c>
      <c r="O5" s="5">
        <v>2132527000</v>
      </c>
      <c r="P5" s="4">
        <v>523889000</v>
      </c>
      <c r="Q5" s="4">
        <v>530224000</v>
      </c>
      <c r="R5" s="4">
        <v>538401000</v>
      </c>
      <c r="S5" s="4">
        <v>540013000</v>
      </c>
    </row>
    <row r="6" spans="1:19" ht="16" x14ac:dyDescent="0.2">
      <c r="A6" s="3" t="s">
        <v>21</v>
      </c>
      <c r="B6" s="4">
        <v>499351000</v>
      </c>
      <c r="C6" s="4">
        <v>514575000</v>
      </c>
      <c r="D6" s="4">
        <v>625464000</v>
      </c>
      <c r="E6" s="4">
        <v>694916000</v>
      </c>
      <c r="F6" s="4">
        <v>662703000</v>
      </c>
      <c r="G6" s="4">
        <v>723863000</v>
      </c>
      <c r="H6" s="4">
        <v>815953000</v>
      </c>
      <c r="I6" s="4">
        <v>1043329000</v>
      </c>
      <c r="J6" s="4">
        <v>1143615000</v>
      </c>
      <c r="K6" s="4">
        <v>1197781000</v>
      </c>
      <c r="L6" s="4">
        <v>1349420000</v>
      </c>
      <c r="M6" s="4">
        <v>1894700000</v>
      </c>
      <c r="N6" s="4">
        <v>2132527000</v>
      </c>
      <c r="O6" s="5">
        <v>2132527000</v>
      </c>
      <c r="P6" s="4">
        <v>523889000</v>
      </c>
      <c r="Q6" s="4">
        <v>530224000</v>
      </c>
      <c r="R6" s="4">
        <v>538401000</v>
      </c>
      <c r="S6" s="4">
        <v>540013000</v>
      </c>
    </row>
    <row r="7" spans="1:19" ht="16" x14ac:dyDescent="0.2">
      <c r="A7" s="28" t="s">
        <v>22</v>
      </c>
      <c r="B7" s="26">
        <v>372895000</v>
      </c>
      <c r="C7" s="26">
        <v>409616000</v>
      </c>
      <c r="D7" s="26">
        <v>420922000</v>
      </c>
      <c r="E7" s="26">
        <v>468573000</v>
      </c>
      <c r="F7" s="26">
        <v>483376000</v>
      </c>
      <c r="G7" s="26">
        <v>544586000</v>
      </c>
      <c r="H7" s="26">
        <v>632028000</v>
      </c>
      <c r="I7" s="26">
        <v>762366000</v>
      </c>
      <c r="J7" s="26">
        <v>898342000</v>
      </c>
      <c r="K7" s="26">
        <v>1007802000</v>
      </c>
      <c r="L7" s="26">
        <v>1343091000</v>
      </c>
      <c r="M7" s="26">
        <v>1606221000</v>
      </c>
      <c r="N7" s="26">
        <v>1736991000</v>
      </c>
      <c r="O7" s="27">
        <v>1736991000</v>
      </c>
      <c r="P7" s="26">
        <v>369483000</v>
      </c>
      <c r="Q7" s="26">
        <v>426500000</v>
      </c>
      <c r="R7" s="26">
        <v>483430000</v>
      </c>
      <c r="S7" s="26">
        <v>457578000</v>
      </c>
    </row>
    <row r="8" spans="1:19" ht="16" x14ac:dyDescent="0.2">
      <c r="A8" s="31" t="s">
        <v>58</v>
      </c>
      <c r="B8" s="32">
        <v>42.75</v>
      </c>
      <c r="C8" s="32">
        <v>44.32</v>
      </c>
      <c r="D8" s="32">
        <v>40.229999999999997</v>
      </c>
      <c r="E8" s="32">
        <v>40.270000000000003</v>
      </c>
      <c r="F8" s="32">
        <v>42.18</v>
      </c>
      <c r="G8" s="32">
        <v>42.93</v>
      </c>
      <c r="H8" s="32">
        <v>43.65</v>
      </c>
      <c r="I8" s="32">
        <v>42.22</v>
      </c>
      <c r="J8" s="32">
        <v>43.99</v>
      </c>
      <c r="K8" s="32">
        <v>45.69</v>
      </c>
      <c r="L8" s="32">
        <v>49.88</v>
      </c>
      <c r="M8" s="32">
        <v>45.88</v>
      </c>
      <c r="N8" s="32">
        <v>44.89</v>
      </c>
      <c r="O8" s="33">
        <v>44.89</v>
      </c>
      <c r="P8" s="32">
        <v>41.36</v>
      </c>
      <c r="Q8" s="32">
        <v>44.58</v>
      </c>
      <c r="R8" s="32">
        <v>47.31</v>
      </c>
      <c r="S8" s="32">
        <v>45.87</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107605000</v>
      </c>
      <c r="C10" s="4">
        <v>114492000</v>
      </c>
      <c r="D10" s="4">
        <v>137930000</v>
      </c>
      <c r="E10" s="4">
        <v>164535000</v>
      </c>
      <c r="F10" s="4">
        <v>138975000</v>
      </c>
      <c r="G10" s="4">
        <v>138116000</v>
      </c>
      <c r="H10" s="4">
        <v>151364000</v>
      </c>
      <c r="I10" s="4">
        <v>176890000</v>
      </c>
      <c r="J10" s="4">
        <v>181867000</v>
      </c>
      <c r="K10" s="4">
        <v>191703000</v>
      </c>
      <c r="L10" s="4">
        <v>206665000</v>
      </c>
      <c r="M10" s="4">
        <v>231224000</v>
      </c>
      <c r="N10" s="4">
        <v>250422000</v>
      </c>
      <c r="O10" s="5">
        <v>250422000</v>
      </c>
      <c r="P10" s="4">
        <v>57980000</v>
      </c>
      <c r="Q10" s="4">
        <v>60975000</v>
      </c>
      <c r="R10" s="4">
        <v>64506000</v>
      </c>
      <c r="S10" s="4">
        <v>66961000</v>
      </c>
    </row>
    <row r="11" spans="1:19" ht="16" x14ac:dyDescent="0.2">
      <c r="A11" s="23" t="s">
        <v>26</v>
      </c>
      <c r="B11" s="26">
        <v>98864000</v>
      </c>
      <c r="C11" s="26">
        <v>99376000</v>
      </c>
      <c r="D11" s="26">
        <v>121968000</v>
      </c>
      <c r="E11" s="26">
        <v>147025000</v>
      </c>
      <c r="F11" s="26">
        <v>127319000</v>
      </c>
      <c r="G11" s="26">
        <v>123199000</v>
      </c>
      <c r="H11" s="26">
        <v>134319000</v>
      </c>
      <c r="I11" s="26">
        <v>155522000</v>
      </c>
      <c r="J11" s="26">
        <v>160139000</v>
      </c>
      <c r="K11" s="26">
        <v>167312000</v>
      </c>
      <c r="L11" s="26">
        <v>185611000</v>
      </c>
      <c r="M11" s="26">
        <v>211152000</v>
      </c>
      <c r="N11" s="26">
        <v>233041000</v>
      </c>
      <c r="O11" s="27">
        <v>233041000</v>
      </c>
      <c r="P11" s="26">
        <v>53282000</v>
      </c>
      <c r="Q11" s="26">
        <v>56631000</v>
      </c>
      <c r="R11" s="26">
        <v>60225000</v>
      </c>
      <c r="S11" s="26">
        <v>62903000</v>
      </c>
    </row>
    <row r="12" spans="1:19" ht="16" x14ac:dyDescent="0.2">
      <c r="A12" s="12" t="s">
        <v>192</v>
      </c>
      <c r="B12" s="11">
        <f t="shared" ref="B12:S12" si="1">B11/B2</f>
        <v>0.11334417125443969</v>
      </c>
      <c r="C12" s="11">
        <f t="shared" si="1"/>
        <v>0.10752755653322744</v>
      </c>
      <c r="D12" s="11">
        <f t="shared" si="1"/>
        <v>0.11656119252360028</v>
      </c>
      <c r="E12" s="11">
        <f t="shared" si="1"/>
        <v>0.12636561239513222</v>
      </c>
      <c r="F12" s="11">
        <f t="shared" si="1"/>
        <v>0.11109094573759749</v>
      </c>
      <c r="G12" s="11">
        <f t="shared" si="1"/>
        <v>9.71257023341104E-2</v>
      </c>
      <c r="H12" s="11">
        <f t="shared" si="1"/>
        <v>9.2762957524995152E-2</v>
      </c>
      <c r="I12" s="11">
        <f t="shared" si="1"/>
        <v>8.6128609759677024E-2</v>
      </c>
      <c r="J12" s="11">
        <f t="shared" si="1"/>
        <v>7.8424276319236888E-2</v>
      </c>
      <c r="K12" s="11">
        <f t="shared" si="1"/>
        <v>7.5858401157426397E-2</v>
      </c>
      <c r="L12" s="11">
        <f t="shared" si="1"/>
        <v>6.8936022916898015E-2</v>
      </c>
      <c r="M12" s="11">
        <f t="shared" si="1"/>
        <v>6.0313271850464492E-2</v>
      </c>
      <c r="N12" s="11">
        <f t="shared" si="1"/>
        <v>6.0224813529747116E-2</v>
      </c>
      <c r="O12" s="11">
        <f t="shared" si="1"/>
        <v>6.0224813529747116E-2</v>
      </c>
      <c r="P12" s="11">
        <f t="shared" si="1"/>
        <v>5.9641448355220443E-2</v>
      </c>
      <c r="Q12" s="11">
        <f t="shared" si="1"/>
        <v>5.9192619815119092E-2</v>
      </c>
      <c r="R12" s="11">
        <f t="shared" si="1"/>
        <v>5.8938317588720639E-2</v>
      </c>
      <c r="S12" s="11">
        <f t="shared" si="1"/>
        <v>6.3054899252298791E-2</v>
      </c>
    </row>
    <row r="13" spans="1:19" ht="16" x14ac:dyDescent="0.2">
      <c r="A13" s="23" t="s">
        <v>27</v>
      </c>
      <c r="B13" s="26">
        <v>0</v>
      </c>
      <c r="C13" s="26">
        <v>0</v>
      </c>
      <c r="D13" s="26">
        <v>0</v>
      </c>
      <c r="E13" s="26">
        <v>0</v>
      </c>
      <c r="F13" s="26">
        <v>0</v>
      </c>
      <c r="G13" s="26">
        <v>0</v>
      </c>
      <c r="H13" s="26">
        <v>0</v>
      </c>
      <c r="I13" s="26">
        <v>0</v>
      </c>
      <c r="J13" s="26">
        <v>0</v>
      </c>
      <c r="K13" s="26">
        <v>0</v>
      </c>
      <c r="L13" s="26">
        <v>0</v>
      </c>
      <c r="M13" s="26">
        <v>0</v>
      </c>
      <c r="N13" s="26">
        <v>0</v>
      </c>
      <c r="O13" s="27">
        <v>0</v>
      </c>
      <c r="P13" s="26">
        <v>0</v>
      </c>
      <c r="Q13" s="26">
        <v>0</v>
      </c>
      <c r="R13" s="26">
        <v>0</v>
      </c>
      <c r="S13" s="26">
        <v>0</v>
      </c>
    </row>
    <row r="14" spans="1:19" ht="16" x14ac:dyDescent="0.2">
      <c r="A14" s="12"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row>
    <row r="15" spans="1:19" ht="16" x14ac:dyDescent="0.2">
      <c r="A15" s="3" t="s">
        <v>28</v>
      </c>
      <c r="B15" s="4">
        <v>8741000</v>
      </c>
      <c r="C15" s="4">
        <v>15116000</v>
      </c>
      <c r="D15" s="4">
        <v>15962000</v>
      </c>
      <c r="E15" s="4">
        <v>17510000</v>
      </c>
      <c r="F15" s="4">
        <v>11656000</v>
      </c>
      <c r="G15" s="4">
        <v>14917000</v>
      </c>
      <c r="H15" s="4">
        <v>17045000</v>
      </c>
      <c r="I15" s="4">
        <v>21368000</v>
      </c>
      <c r="J15" s="4">
        <v>21728000</v>
      </c>
      <c r="K15" s="4">
        <v>24391000</v>
      </c>
      <c r="L15" s="4">
        <v>21054000</v>
      </c>
      <c r="M15" s="4">
        <v>20072000</v>
      </c>
      <c r="N15" s="4">
        <v>17381000</v>
      </c>
      <c r="O15" s="5">
        <v>17381000</v>
      </c>
      <c r="P15" s="4">
        <v>4698000</v>
      </c>
      <c r="Q15" s="4">
        <v>4344000</v>
      </c>
      <c r="R15" s="4">
        <v>4281000</v>
      </c>
      <c r="S15" s="4">
        <v>4058000</v>
      </c>
    </row>
    <row r="16" spans="1:19" ht="16" x14ac:dyDescent="0.2">
      <c r="A16" s="28" t="s">
        <v>29</v>
      </c>
      <c r="B16" s="26">
        <v>265290000</v>
      </c>
      <c r="C16" s="26">
        <v>295124000</v>
      </c>
      <c r="D16" s="26">
        <v>282992000</v>
      </c>
      <c r="E16" s="26">
        <v>304038000</v>
      </c>
      <c r="F16" s="26">
        <v>344401000</v>
      </c>
      <c r="G16" s="26">
        <v>406470000</v>
      </c>
      <c r="H16" s="26">
        <v>480664000</v>
      </c>
      <c r="I16" s="26">
        <v>585476000</v>
      </c>
      <c r="J16" s="26">
        <v>716475000</v>
      </c>
      <c r="K16" s="26">
        <v>816099000</v>
      </c>
      <c r="L16" s="26">
        <v>1136426000</v>
      </c>
      <c r="M16" s="26">
        <v>1374997000</v>
      </c>
      <c r="N16" s="26">
        <v>1486569000</v>
      </c>
      <c r="O16" s="27">
        <v>1486569000</v>
      </c>
      <c r="P16" s="26">
        <v>311503000</v>
      </c>
      <c r="Q16" s="26">
        <v>365525000</v>
      </c>
      <c r="R16" s="26">
        <v>418924000</v>
      </c>
      <c r="S16" s="26">
        <v>390617000</v>
      </c>
    </row>
    <row r="17" spans="1:19" ht="16" x14ac:dyDescent="0.2">
      <c r="A17" s="23" t="s">
        <v>59</v>
      </c>
      <c r="B17" s="29">
        <v>30.41</v>
      </c>
      <c r="C17" s="29">
        <v>31.93</v>
      </c>
      <c r="D17" s="29">
        <v>27.04</v>
      </c>
      <c r="E17" s="29">
        <v>26.13</v>
      </c>
      <c r="F17" s="29">
        <v>30.05</v>
      </c>
      <c r="G17" s="29">
        <v>32.04</v>
      </c>
      <c r="H17" s="29">
        <v>33.200000000000003</v>
      </c>
      <c r="I17" s="29">
        <v>32.42</v>
      </c>
      <c r="J17" s="29">
        <v>35.090000000000003</v>
      </c>
      <c r="K17" s="26">
        <v>37</v>
      </c>
      <c r="L17" s="29">
        <v>42.21</v>
      </c>
      <c r="M17" s="29">
        <v>39.28</v>
      </c>
      <c r="N17" s="29">
        <v>38.42</v>
      </c>
      <c r="O17" s="30">
        <v>38.42</v>
      </c>
      <c r="P17" s="29">
        <v>34.869999999999997</v>
      </c>
      <c r="Q17" s="29">
        <v>38.21</v>
      </c>
      <c r="R17" s="26">
        <v>41</v>
      </c>
      <c r="S17" s="29">
        <v>39.159999999999997</v>
      </c>
    </row>
    <row r="18" spans="1:19" ht="16" x14ac:dyDescent="0.2">
      <c r="A18" s="13" t="s">
        <v>194</v>
      </c>
      <c r="B18" s="10"/>
      <c r="C18" s="11">
        <f>(C16/B16)-1</f>
        <v>0.11245806475932008</v>
      </c>
      <c r="D18" s="11">
        <f>(D16/C16)-1</f>
        <v>-4.1108144373212641E-2</v>
      </c>
      <c r="E18" s="11">
        <f>(E16/D16)-1</f>
        <v>7.4369593486741659E-2</v>
      </c>
      <c r="F18" s="11">
        <f t="shared" ref="F18:N18" si="3">(F16/E16)-1</f>
        <v>0.13275643176181928</v>
      </c>
      <c r="G18" s="11">
        <f t="shared" si="3"/>
        <v>0.18022305394002913</v>
      </c>
      <c r="H18" s="11">
        <f t="shared" si="3"/>
        <v>0.18253253622653576</v>
      </c>
      <c r="I18" s="11">
        <f t="shared" si="3"/>
        <v>0.21805668824792379</v>
      </c>
      <c r="J18" s="11">
        <f t="shared" si="3"/>
        <v>0.22374785644501216</v>
      </c>
      <c r="K18" s="11">
        <f t="shared" si="3"/>
        <v>0.1390474196587459</v>
      </c>
      <c r="L18" s="11">
        <f t="shared" si="3"/>
        <v>0.39250997734343507</v>
      </c>
      <c r="M18" s="11">
        <f t="shared" si="3"/>
        <v>0.20993095898897063</v>
      </c>
      <c r="N18" s="11">
        <f t="shared" si="3"/>
        <v>8.1143449767526743E-2</v>
      </c>
      <c r="O18" s="11">
        <f>(O16/N16)-1</f>
        <v>0</v>
      </c>
      <c r="P18" s="11"/>
      <c r="Q18" s="11">
        <f>(Q16/P16)-1</f>
        <v>0.17342369094358645</v>
      </c>
      <c r="R18" s="11">
        <f>(R16/Q16)-1</f>
        <v>0.14608850283838315</v>
      </c>
      <c r="S18" s="11">
        <f>(S16/R16)-1</f>
        <v>-6.7570728819547177E-2</v>
      </c>
    </row>
    <row r="19" spans="1:19" ht="16" x14ac:dyDescent="0.2">
      <c r="A19" s="3" t="s">
        <v>30</v>
      </c>
      <c r="B19" s="4">
        <v>1413000</v>
      </c>
      <c r="C19" s="4">
        <v>17068000</v>
      </c>
      <c r="D19" s="4">
        <v>6120000</v>
      </c>
      <c r="E19" s="4">
        <v>34003000</v>
      </c>
      <c r="F19" s="4">
        <v>12332000</v>
      </c>
      <c r="G19" s="4">
        <v>10605000</v>
      </c>
      <c r="H19" s="4">
        <v>40564000</v>
      </c>
      <c r="I19" s="4">
        <v>22965000</v>
      </c>
      <c r="J19" s="4">
        <v>11524000</v>
      </c>
      <c r="K19" s="4">
        <v>15260000</v>
      </c>
      <c r="L19" s="4">
        <v>14580000</v>
      </c>
      <c r="M19" s="4">
        <v>34043000</v>
      </c>
      <c r="N19" s="4">
        <v>-67759000</v>
      </c>
      <c r="O19" s="5">
        <v>-67759000</v>
      </c>
      <c r="P19" s="4">
        <v>-1600000</v>
      </c>
      <c r="Q19" s="4">
        <v>-11578000</v>
      </c>
      <c r="R19" s="4">
        <v>-21506000</v>
      </c>
      <c r="S19" s="4">
        <v>-33075000</v>
      </c>
    </row>
    <row r="20" spans="1:19" ht="16" x14ac:dyDescent="0.2">
      <c r="A20" s="3" t="s">
        <v>31</v>
      </c>
      <c r="B20" s="4">
        <v>3092000</v>
      </c>
      <c r="C20" s="4">
        <v>10984000</v>
      </c>
      <c r="D20" s="4">
        <v>8991000</v>
      </c>
      <c r="E20" s="4">
        <v>7786000</v>
      </c>
      <c r="F20" s="4">
        <v>16487000</v>
      </c>
      <c r="G20" s="4">
        <v>20708000</v>
      </c>
      <c r="H20" s="4">
        <v>20967000</v>
      </c>
      <c r="I20" s="4">
        <v>17782000</v>
      </c>
      <c r="J20" s="4">
        <v>15360000</v>
      </c>
      <c r="K20" s="4">
        <v>17512000</v>
      </c>
      <c r="L20" s="4">
        <v>20247000</v>
      </c>
      <c r="M20" s="4">
        <v>16688000</v>
      </c>
      <c r="N20" s="4">
        <v>16688000</v>
      </c>
      <c r="O20" s="5">
        <v>16688000</v>
      </c>
      <c r="P20" s="4" t="s">
        <v>24</v>
      </c>
      <c r="Q20" s="4" t="s">
        <v>24</v>
      </c>
      <c r="R20" s="4" t="s">
        <v>24</v>
      </c>
      <c r="S20" s="4" t="s">
        <v>24</v>
      </c>
    </row>
    <row r="21" spans="1:19" ht="16" x14ac:dyDescent="0.2">
      <c r="A21" s="3" t="s">
        <v>32</v>
      </c>
      <c r="B21" s="4">
        <v>3585000</v>
      </c>
      <c r="C21" s="4">
        <v>11341000</v>
      </c>
      <c r="D21" s="4">
        <v>9629000</v>
      </c>
      <c r="E21" s="4">
        <v>8277000</v>
      </c>
      <c r="F21" s="4">
        <v>17304000</v>
      </c>
      <c r="G21" s="4">
        <v>22157000</v>
      </c>
      <c r="H21" s="4">
        <v>22373000</v>
      </c>
      <c r="I21" s="4">
        <v>19075000</v>
      </c>
      <c r="J21" s="4">
        <v>17585000</v>
      </c>
      <c r="K21" s="4">
        <v>18871000</v>
      </c>
      <c r="L21" s="4">
        <v>20247000</v>
      </c>
      <c r="M21" s="4">
        <v>16688000</v>
      </c>
      <c r="N21" s="4">
        <v>16688000</v>
      </c>
      <c r="O21" s="5">
        <v>16688000</v>
      </c>
      <c r="P21" s="4" t="s">
        <v>24</v>
      </c>
      <c r="Q21" s="4" t="s">
        <v>24</v>
      </c>
      <c r="R21" s="4" t="s">
        <v>24</v>
      </c>
      <c r="S21" s="4" t="s">
        <v>24</v>
      </c>
    </row>
    <row r="22" spans="1:19" ht="16" x14ac:dyDescent="0.2">
      <c r="A22" s="3" t="s">
        <v>33</v>
      </c>
      <c r="B22" s="4">
        <v>493000</v>
      </c>
      <c r="C22" s="4">
        <v>357000</v>
      </c>
      <c r="D22" s="4">
        <v>638000</v>
      </c>
      <c r="E22" s="4">
        <v>491000</v>
      </c>
      <c r="F22" s="4">
        <v>817000</v>
      </c>
      <c r="G22" s="4">
        <v>1449000</v>
      </c>
      <c r="H22" s="4">
        <v>1406000</v>
      </c>
      <c r="I22" s="4">
        <v>1293000</v>
      </c>
      <c r="J22" s="4">
        <v>2225000</v>
      </c>
      <c r="K22" s="4">
        <v>1359000</v>
      </c>
      <c r="L22" s="4" t="s">
        <v>24</v>
      </c>
      <c r="M22" s="4" t="s">
        <v>24</v>
      </c>
      <c r="N22" s="4" t="s">
        <v>24</v>
      </c>
      <c r="O22" s="5" t="s">
        <v>24</v>
      </c>
      <c r="P22" s="4" t="s">
        <v>24</v>
      </c>
      <c r="Q22" s="4" t="s">
        <v>24</v>
      </c>
      <c r="R22" s="4" t="s">
        <v>24</v>
      </c>
      <c r="S22" s="4" t="s">
        <v>24</v>
      </c>
    </row>
    <row r="23" spans="1:19" ht="16" x14ac:dyDescent="0.2">
      <c r="A23" s="3" t="s">
        <v>34</v>
      </c>
      <c r="B23" s="4">
        <v>-1679000</v>
      </c>
      <c r="C23" s="4">
        <v>6084000</v>
      </c>
      <c r="D23" s="4">
        <v>-2871000</v>
      </c>
      <c r="E23" s="4">
        <v>26217000</v>
      </c>
      <c r="F23" s="4">
        <v>-4155000</v>
      </c>
      <c r="G23" s="4">
        <v>-10103000</v>
      </c>
      <c r="H23" s="4">
        <v>19597000</v>
      </c>
      <c r="I23" s="4">
        <v>5183000</v>
      </c>
      <c r="J23" s="4">
        <v>-3836000</v>
      </c>
      <c r="K23" s="4">
        <v>-2252000</v>
      </c>
      <c r="L23" s="4">
        <v>-5667000</v>
      </c>
      <c r="M23" s="4">
        <v>17355000</v>
      </c>
      <c r="N23" s="4">
        <v>-67759000</v>
      </c>
      <c r="O23" s="5">
        <v>-67759000</v>
      </c>
      <c r="P23" s="4">
        <v>-1600000</v>
      </c>
      <c r="Q23" s="4">
        <v>-11578000</v>
      </c>
      <c r="R23" s="4">
        <v>-21506000</v>
      </c>
      <c r="S23" s="4">
        <v>-33075000</v>
      </c>
    </row>
    <row r="24" spans="1:19" ht="16" x14ac:dyDescent="0.2">
      <c r="A24" s="3" t="s">
        <v>35</v>
      </c>
      <c r="B24" s="4">
        <v>263877000</v>
      </c>
      <c r="C24" s="4">
        <v>278056000</v>
      </c>
      <c r="D24" s="4">
        <v>276872000</v>
      </c>
      <c r="E24" s="4">
        <v>270035000</v>
      </c>
      <c r="F24" s="4">
        <v>332069000</v>
      </c>
      <c r="G24" s="4">
        <v>395865000</v>
      </c>
      <c r="H24" s="4">
        <v>440100000</v>
      </c>
      <c r="I24" s="4">
        <v>562511000</v>
      </c>
      <c r="J24" s="4">
        <v>704951000</v>
      </c>
      <c r="K24" s="4">
        <v>800839000</v>
      </c>
      <c r="L24" s="4">
        <v>1121846000</v>
      </c>
      <c r="M24" s="4">
        <v>1340954000</v>
      </c>
      <c r="N24" s="4">
        <v>1554328000</v>
      </c>
      <c r="O24" s="5">
        <v>1554328000</v>
      </c>
      <c r="P24" s="4">
        <v>313103000</v>
      </c>
      <c r="Q24" s="4">
        <v>377103000</v>
      </c>
      <c r="R24" s="4">
        <v>440430000</v>
      </c>
      <c r="S24" s="4">
        <v>423692000</v>
      </c>
    </row>
    <row r="25" spans="1:19" ht="16" x14ac:dyDescent="0.2">
      <c r="A25" s="3" t="s">
        <v>36</v>
      </c>
      <c r="B25" s="4">
        <v>97502000</v>
      </c>
      <c r="C25" s="4">
        <v>95937000</v>
      </c>
      <c r="D25" s="4">
        <v>96847000</v>
      </c>
      <c r="E25" s="4">
        <v>91348000</v>
      </c>
      <c r="F25" s="4">
        <v>112286000</v>
      </c>
      <c r="G25" s="4">
        <v>125505000</v>
      </c>
      <c r="H25" s="4">
        <v>45839000</v>
      </c>
      <c r="I25" s="4">
        <v>144504000</v>
      </c>
      <c r="J25" s="4">
        <v>113258000</v>
      </c>
      <c r="K25" s="4">
        <v>100932000</v>
      </c>
      <c r="L25" s="4">
        <v>185351000</v>
      </c>
      <c r="M25" s="4">
        <v>250824000</v>
      </c>
      <c r="N25" s="4">
        <v>316587000</v>
      </c>
      <c r="O25" s="5">
        <v>316587000</v>
      </c>
      <c r="P25" s="4">
        <v>67255000</v>
      </c>
      <c r="Q25" s="4">
        <v>83426000</v>
      </c>
      <c r="R25" s="4">
        <v>89999000</v>
      </c>
      <c r="S25" s="4">
        <v>75907000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166375000</v>
      </c>
      <c r="C27" s="4">
        <v>182119000</v>
      </c>
      <c r="D27" s="4">
        <v>180025000</v>
      </c>
      <c r="E27" s="4">
        <v>178687000</v>
      </c>
      <c r="F27" s="4">
        <v>219783000</v>
      </c>
      <c r="G27" s="4">
        <v>270360000</v>
      </c>
      <c r="H27" s="4">
        <v>394261000</v>
      </c>
      <c r="I27" s="4">
        <v>418007000</v>
      </c>
      <c r="J27" s="4">
        <v>591693000</v>
      </c>
      <c r="K27" s="4">
        <v>699907000</v>
      </c>
      <c r="L27" s="4">
        <v>936495000</v>
      </c>
      <c r="M27" s="4">
        <v>1090130000</v>
      </c>
      <c r="N27" s="4">
        <v>1237741000</v>
      </c>
      <c r="O27" s="5">
        <v>1237741000</v>
      </c>
      <c r="P27" s="4">
        <v>245848000</v>
      </c>
      <c r="Q27" s="4">
        <v>293677000</v>
      </c>
      <c r="R27" s="4">
        <v>350431000</v>
      </c>
      <c r="S27" s="4">
        <v>347785000</v>
      </c>
    </row>
    <row r="28" spans="1:19" ht="16" x14ac:dyDescent="0.2">
      <c r="A28" s="3" t="s">
        <v>39</v>
      </c>
      <c r="B28" s="4" t="s">
        <v>24</v>
      </c>
      <c r="C28" s="4" t="s">
        <v>24</v>
      </c>
      <c r="D28" s="4" t="s">
        <v>24</v>
      </c>
      <c r="E28" s="4" t="s">
        <v>24</v>
      </c>
      <c r="F28" s="4" t="s">
        <v>24</v>
      </c>
      <c r="G28" s="4" t="s">
        <v>24</v>
      </c>
      <c r="H28" s="4">
        <v>68000</v>
      </c>
      <c r="I28" s="4">
        <v>280000</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v>68000</v>
      </c>
      <c r="I30" s="4">
        <v>280000</v>
      </c>
      <c r="J30" s="4" t="s">
        <v>24</v>
      </c>
      <c r="K30" s="4" t="s">
        <v>24</v>
      </c>
      <c r="L30" s="4" t="s">
        <v>24</v>
      </c>
      <c r="M30" s="4" t="s">
        <v>24</v>
      </c>
      <c r="N30" s="4" t="s">
        <v>24</v>
      </c>
      <c r="O30" s="5" t="s">
        <v>24</v>
      </c>
      <c r="P30" s="4" t="s">
        <v>24</v>
      </c>
      <c r="Q30" s="4" t="s">
        <v>24</v>
      </c>
      <c r="R30" s="4" t="s">
        <v>24</v>
      </c>
      <c r="S30" s="4" t="s">
        <v>24</v>
      </c>
    </row>
    <row r="31" spans="1:19" ht="16" x14ac:dyDescent="0.2">
      <c r="A31" s="3" t="s">
        <v>42</v>
      </c>
      <c r="B31" s="4">
        <v>166375000</v>
      </c>
      <c r="C31" s="4">
        <v>182119000</v>
      </c>
      <c r="D31" s="4">
        <v>180025000</v>
      </c>
      <c r="E31" s="4">
        <v>178687000</v>
      </c>
      <c r="F31" s="4">
        <v>219783000</v>
      </c>
      <c r="G31" s="4">
        <v>270360000</v>
      </c>
      <c r="H31" s="4">
        <v>394193000</v>
      </c>
      <c r="I31" s="4">
        <v>417727000</v>
      </c>
      <c r="J31" s="4">
        <v>591693000</v>
      </c>
      <c r="K31" s="4">
        <v>699907000</v>
      </c>
      <c r="L31" s="4">
        <v>936495000</v>
      </c>
      <c r="M31" s="4">
        <v>1090130000</v>
      </c>
      <c r="N31" s="4">
        <v>1237741000</v>
      </c>
      <c r="O31" s="5">
        <v>1237741000</v>
      </c>
      <c r="P31" s="4">
        <v>245848000</v>
      </c>
      <c r="Q31" s="4">
        <v>293677000</v>
      </c>
      <c r="R31" s="4">
        <v>350431000</v>
      </c>
      <c r="S31" s="4">
        <v>347785000</v>
      </c>
    </row>
    <row r="32" spans="1:19" ht="16" x14ac:dyDescent="0.2">
      <c r="A32" s="3" t="s">
        <v>43</v>
      </c>
      <c r="B32" s="4" t="s">
        <v>24</v>
      </c>
      <c r="C32" s="4" t="s">
        <v>24</v>
      </c>
      <c r="D32" s="4" t="s">
        <v>24</v>
      </c>
      <c r="E32" s="4" t="s">
        <v>24</v>
      </c>
      <c r="F32" s="4" t="s">
        <v>24</v>
      </c>
      <c r="G32" s="4" t="s">
        <v>24</v>
      </c>
      <c r="H32" s="4">
        <v>-34000</v>
      </c>
      <c r="I32" s="4">
        <v>-140000</v>
      </c>
      <c r="J32" s="4" t="s">
        <v>24</v>
      </c>
      <c r="K32" s="4" t="s">
        <v>24</v>
      </c>
      <c r="L32" s="4" t="s">
        <v>24</v>
      </c>
      <c r="M32" s="4" t="s">
        <v>24</v>
      </c>
      <c r="N32" s="4" t="s">
        <v>24</v>
      </c>
      <c r="O32" s="5" t="s">
        <v>24</v>
      </c>
      <c r="P32" s="4" t="s">
        <v>24</v>
      </c>
      <c r="Q32" s="4" t="s">
        <v>24</v>
      </c>
      <c r="R32" s="4" t="s">
        <v>24</v>
      </c>
      <c r="S32" s="4" t="s">
        <v>24</v>
      </c>
    </row>
    <row r="33" spans="1:19" ht="16" x14ac:dyDescent="0.2">
      <c r="A33" s="28" t="s">
        <v>44</v>
      </c>
      <c r="B33" s="26">
        <v>166375000</v>
      </c>
      <c r="C33" s="26">
        <v>182119000</v>
      </c>
      <c r="D33" s="26">
        <v>180025000</v>
      </c>
      <c r="E33" s="26">
        <v>178687000</v>
      </c>
      <c r="F33" s="26">
        <v>219783000</v>
      </c>
      <c r="G33" s="26">
        <v>270360000</v>
      </c>
      <c r="H33" s="26">
        <v>394227000</v>
      </c>
      <c r="I33" s="26">
        <v>417867000</v>
      </c>
      <c r="J33" s="26">
        <v>591693000</v>
      </c>
      <c r="K33" s="26">
        <v>699907000</v>
      </c>
      <c r="L33" s="26">
        <v>936495000</v>
      </c>
      <c r="M33" s="26">
        <v>1090130000</v>
      </c>
      <c r="N33" s="26">
        <v>1237741000</v>
      </c>
      <c r="O33" s="27">
        <v>1237741000</v>
      </c>
      <c r="P33" s="26">
        <v>245848000</v>
      </c>
      <c r="Q33" s="26">
        <v>293677000</v>
      </c>
      <c r="R33" s="26">
        <v>350431000</v>
      </c>
      <c r="S33" s="26">
        <v>347785000</v>
      </c>
    </row>
    <row r="34" spans="1:19" ht="16" x14ac:dyDescent="0.2">
      <c r="A34" s="23" t="s">
        <v>60</v>
      </c>
      <c r="B34" s="29">
        <v>19.07</v>
      </c>
      <c r="C34" s="29">
        <v>19.71</v>
      </c>
      <c r="D34" s="29">
        <v>17.2</v>
      </c>
      <c r="E34" s="29">
        <v>15.36</v>
      </c>
      <c r="F34" s="29">
        <v>19.18</v>
      </c>
      <c r="G34" s="29">
        <v>21.31</v>
      </c>
      <c r="H34" s="29">
        <v>27.23</v>
      </c>
      <c r="I34" s="29">
        <v>23.14</v>
      </c>
      <c r="J34" s="29">
        <v>28.98</v>
      </c>
      <c r="K34" s="29">
        <v>31.73</v>
      </c>
      <c r="L34" s="29">
        <v>34.78</v>
      </c>
      <c r="M34" s="29">
        <v>31.14</v>
      </c>
      <c r="N34" s="29">
        <v>31.99</v>
      </c>
      <c r="O34" s="30">
        <v>31.99</v>
      </c>
      <c r="P34" s="29">
        <v>27.52</v>
      </c>
      <c r="Q34" s="29">
        <v>30.7</v>
      </c>
      <c r="R34" s="29">
        <v>34.29</v>
      </c>
      <c r="S34" s="29">
        <v>34.86</v>
      </c>
    </row>
    <row r="35" spans="1:19" ht="16" x14ac:dyDescent="0.2">
      <c r="A35" s="14" t="s">
        <v>195</v>
      </c>
      <c r="B35" s="15"/>
      <c r="C35" s="16">
        <f>(C33/B33)-1</f>
        <v>9.4629601803155605E-2</v>
      </c>
      <c r="D35" s="16">
        <f>(D33/C33)-1</f>
        <v>-1.1497976597719117E-2</v>
      </c>
      <c r="E35" s="16">
        <f>(E33/D33)-1</f>
        <v>-7.4323010692959324E-3</v>
      </c>
      <c r="F35" s="16">
        <f t="shared" ref="F35:N35" si="4">(F33/E33)-1</f>
        <v>0.22998875128017149</v>
      </c>
      <c r="G35" s="16">
        <f t="shared" si="4"/>
        <v>0.23012243895114737</v>
      </c>
      <c r="H35" s="16">
        <f t="shared" si="4"/>
        <v>0.45815579227696412</v>
      </c>
      <c r="I35" s="16">
        <f t="shared" si="4"/>
        <v>5.9965451376998491E-2</v>
      </c>
      <c r="J35" s="16">
        <f t="shared" si="4"/>
        <v>0.41598403319716559</v>
      </c>
      <c r="K35" s="16">
        <f t="shared" si="4"/>
        <v>0.18288876157061185</v>
      </c>
      <c r="L35" s="16">
        <f t="shared" si="4"/>
        <v>0.33802776654612687</v>
      </c>
      <c r="M35" s="16">
        <f t="shared" si="4"/>
        <v>0.16405319836197729</v>
      </c>
      <c r="N35" s="16">
        <f t="shared" si="4"/>
        <v>0.13540678634658243</v>
      </c>
      <c r="O35" s="16">
        <f>(O33/N33)-1</f>
        <v>0</v>
      </c>
      <c r="P35" s="16"/>
      <c r="Q35" s="16">
        <f>(Q33/P33)-1</f>
        <v>0.19454703719371325</v>
      </c>
      <c r="R35" s="16">
        <f>(R33/Q33)-1</f>
        <v>0.19325313184212578</v>
      </c>
      <c r="S35" s="16">
        <f>(S33/R33)-1</f>
        <v>-7.5507018500076128E-3</v>
      </c>
    </row>
    <row r="36" spans="1:19" ht="16" x14ac:dyDescent="0.2">
      <c r="A36" s="17" t="s">
        <v>196</v>
      </c>
      <c r="B36" s="18">
        <f t="shared" ref="B36:S36" si="5">(B16*(1-0.25))/(B126+B105+B96)</f>
        <v>0.21373027774435832</v>
      </c>
      <c r="C36" s="18">
        <f t="shared" si="5"/>
        <v>0.22018986567346804</v>
      </c>
      <c r="D36" s="18">
        <f t="shared" si="5"/>
        <v>0.18437578454222694</v>
      </c>
      <c r="E36" s="18">
        <f t="shared" si="5"/>
        <v>0.17454722902633191</v>
      </c>
      <c r="F36" s="18">
        <f t="shared" si="5"/>
        <v>0.16040834766840342</v>
      </c>
      <c r="G36" s="18">
        <f t="shared" si="5"/>
        <v>0.21545138054543347</v>
      </c>
      <c r="H36" s="18">
        <f t="shared" si="5"/>
        <v>0.20818323460215127</v>
      </c>
      <c r="I36" s="18">
        <f t="shared" si="5"/>
        <v>0.22165959867682788</v>
      </c>
      <c r="J36" s="18">
        <f t="shared" si="5"/>
        <v>0.24653779804643949</v>
      </c>
      <c r="K36" s="18">
        <f t="shared" si="5"/>
        <v>0.20350188582136297</v>
      </c>
      <c r="L36" s="18">
        <f t="shared" si="5"/>
        <v>0.21059121333639713</v>
      </c>
      <c r="M36" s="18">
        <f t="shared" si="5"/>
        <v>0.21733026390326637</v>
      </c>
      <c r="N36" s="18">
        <f t="shared" si="5"/>
        <v>0.18253868396188341</v>
      </c>
      <c r="O36" s="18">
        <f t="shared" si="5"/>
        <v>0.18253868396188341</v>
      </c>
      <c r="P36" s="18">
        <f t="shared" si="5"/>
        <v>4.7021156649940145E-2</v>
      </c>
      <c r="Q36" s="18">
        <f t="shared" si="5"/>
        <v>5.1494695070822549E-2</v>
      </c>
      <c r="R36" s="18">
        <f t="shared" si="5"/>
        <v>5.4912468414140818E-2</v>
      </c>
      <c r="S36" s="18">
        <f t="shared" si="5"/>
        <v>4.7964617258357344E-2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166375000</v>
      </c>
      <c r="C39" s="4">
        <v>182119000</v>
      </c>
      <c r="D39" s="4">
        <v>180025000</v>
      </c>
      <c r="E39" s="4">
        <v>178687000</v>
      </c>
      <c r="F39" s="4">
        <v>219783000</v>
      </c>
      <c r="G39" s="4">
        <v>270360000</v>
      </c>
      <c r="H39" s="4">
        <v>394227000</v>
      </c>
      <c r="I39" s="4">
        <v>417867000</v>
      </c>
      <c r="J39" s="4">
        <v>591693000</v>
      </c>
      <c r="K39" s="4">
        <v>699907000</v>
      </c>
      <c r="L39" s="4">
        <v>936495000</v>
      </c>
      <c r="M39" s="4">
        <v>1090130000</v>
      </c>
      <c r="N39" s="4">
        <v>1237741000</v>
      </c>
      <c r="O39" s="5">
        <v>1237741000</v>
      </c>
      <c r="P39" s="4">
        <v>245848000</v>
      </c>
      <c r="Q39" s="4">
        <v>293677000</v>
      </c>
      <c r="R39" s="4">
        <v>350431000</v>
      </c>
      <c r="S39" s="4">
        <v>347785000</v>
      </c>
    </row>
    <row r="40" spans="1:19" ht="16" x14ac:dyDescent="0.2">
      <c r="A40" s="3" t="s">
        <v>48</v>
      </c>
      <c r="B40" s="4">
        <v>605192000</v>
      </c>
      <c r="C40" s="4">
        <v>512480000</v>
      </c>
      <c r="D40" s="4">
        <v>499648000</v>
      </c>
      <c r="E40" s="4">
        <v>502772000</v>
      </c>
      <c r="F40" s="4">
        <v>503658000</v>
      </c>
      <c r="G40" s="4">
        <v>457692000</v>
      </c>
      <c r="H40" s="4">
        <v>457372000</v>
      </c>
      <c r="I40" s="4">
        <v>463586000</v>
      </c>
      <c r="J40" s="4">
        <v>460978000</v>
      </c>
      <c r="K40" s="4">
        <v>466404000</v>
      </c>
      <c r="L40" s="4">
        <v>472504000</v>
      </c>
      <c r="M40" s="4">
        <v>474838000</v>
      </c>
      <c r="N40" s="4">
        <v>953574000</v>
      </c>
      <c r="O40" s="5">
        <v>953574250</v>
      </c>
      <c r="P40" s="4">
        <v>952198000</v>
      </c>
      <c r="Q40" s="4">
        <v>952752000</v>
      </c>
      <c r="R40" s="4">
        <v>953574000</v>
      </c>
      <c r="S40" s="4">
        <v>955773000</v>
      </c>
    </row>
    <row r="41" spans="1:19" ht="16" x14ac:dyDescent="0.2">
      <c r="A41" s="3" t="s">
        <v>49</v>
      </c>
      <c r="B41" s="6">
        <v>0.27</v>
      </c>
      <c r="C41" s="6">
        <v>0.36</v>
      </c>
      <c r="D41" s="6">
        <v>0.36</v>
      </c>
      <c r="E41" s="6">
        <v>0.36</v>
      </c>
      <c r="F41" s="6">
        <v>0.44</v>
      </c>
      <c r="G41" s="6">
        <v>0.59</v>
      </c>
      <c r="H41" s="6">
        <v>0.86</v>
      </c>
      <c r="I41" s="6">
        <v>0.9</v>
      </c>
      <c r="J41" s="6">
        <v>1.28</v>
      </c>
      <c r="K41" s="6">
        <v>1.5</v>
      </c>
      <c r="L41" s="6">
        <v>1.98</v>
      </c>
      <c r="M41" s="6">
        <v>2.2999999999999998</v>
      </c>
      <c r="N41" s="6">
        <v>1.3</v>
      </c>
      <c r="O41" s="7">
        <v>1.3</v>
      </c>
      <c r="P41" s="6">
        <v>0.26</v>
      </c>
      <c r="Q41" s="6">
        <v>0.31</v>
      </c>
      <c r="R41" s="6">
        <v>0.37</v>
      </c>
      <c r="S41" s="6">
        <v>0.36</v>
      </c>
    </row>
    <row r="42" spans="1:19" ht="16" x14ac:dyDescent="0.2">
      <c r="A42" s="3" t="s">
        <v>50</v>
      </c>
      <c r="B42" s="6">
        <v>0.27</v>
      </c>
      <c r="C42" s="6">
        <v>0.36</v>
      </c>
      <c r="D42" s="6">
        <v>0.36</v>
      </c>
      <c r="E42" s="6">
        <v>0.36</v>
      </c>
      <c r="F42" s="6">
        <v>0.44</v>
      </c>
      <c r="G42" s="6">
        <v>0.59</v>
      </c>
      <c r="H42" s="6">
        <v>0.86</v>
      </c>
      <c r="I42" s="6">
        <v>0.9</v>
      </c>
      <c r="J42" s="6">
        <v>1.28</v>
      </c>
      <c r="K42" s="6">
        <v>1.5</v>
      </c>
      <c r="L42" s="6">
        <v>1.98</v>
      </c>
      <c r="M42" s="6">
        <v>2.2999999999999998</v>
      </c>
      <c r="N42" s="6">
        <v>1.3</v>
      </c>
      <c r="O42" s="7">
        <v>1.3</v>
      </c>
      <c r="P42" s="6">
        <v>0.26</v>
      </c>
      <c r="Q42" s="6">
        <v>0.31</v>
      </c>
      <c r="R42" s="6">
        <v>0.37</v>
      </c>
      <c r="S42" s="6">
        <v>0.36</v>
      </c>
    </row>
    <row r="43" spans="1:19" ht="16" x14ac:dyDescent="0.2">
      <c r="A43" s="3" t="s">
        <v>51</v>
      </c>
      <c r="B43" s="4">
        <v>613408000</v>
      </c>
      <c r="C43" s="4">
        <v>525712000</v>
      </c>
      <c r="D43" s="4">
        <v>519124000</v>
      </c>
      <c r="E43" s="4">
        <v>524920000</v>
      </c>
      <c r="F43" s="4">
        <v>525702000</v>
      </c>
      <c r="G43" s="4">
        <v>488590000</v>
      </c>
      <c r="H43" s="4">
        <v>474038000</v>
      </c>
      <c r="I43" s="4">
        <v>483754000</v>
      </c>
      <c r="J43" s="4">
        <v>480906000</v>
      </c>
      <c r="K43" s="4">
        <v>477312000</v>
      </c>
      <c r="L43" s="4">
        <v>480580000</v>
      </c>
      <c r="M43" s="4">
        <v>482302000</v>
      </c>
      <c r="N43" s="4">
        <v>966647000</v>
      </c>
      <c r="O43" s="5">
        <v>966760750</v>
      </c>
      <c r="P43" s="4">
        <v>964336000</v>
      </c>
      <c r="Q43" s="4">
        <v>965072000</v>
      </c>
      <c r="R43" s="4">
        <v>967380000</v>
      </c>
      <c r="S43" s="4">
        <v>970255000</v>
      </c>
    </row>
    <row r="44" spans="1:19" ht="16" x14ac:dyDescent="0.2">
      <c r="A44" s="3" t="s">
        <v>52</v>
      </c>
      <c r="B44" s="6">
        <v>0.27</v>
      </c>
      <c r="C44" s="6">
        <v>0.35</v>
      </c>
      <c r="D44" s="6">
        <v>0.35</v>
      </c>
      <c r="E44" s="6">
        <v>0.34</v>
      </c>
      <c r="F44" s="6">
        <v>0.42</v>
      </c>
      <c r="G44" s="6">
        <v>0.55000000000000004</v>
      </c>
      <c r="H44" s="6">
        <v>0.83</v>
      </c>
      <c r="I44" s="6">
        <v>0.86</v>
      </c>
      <c r="J44" s="6">
        <v>1.23</v>
      </c>
      <c r="K44" s="6">
        <v>1.47</v>
      </c>
      <c r="L44" s="6">
        <v>1.95</v>
      </c>
      <c r="M44" s="6">
        <v>2.2599999999999998</v>
      </c>
      <c r="N44" s="6">
        <v>1.28</v>
      </c>
      <c r="O44" s="7">
        <v>1.28</v>
      </c>
      <c r="P44" s="6">
        <v>0.25</v>
      </c>
      <c r="Q44" s="6">
        <v>0.3</v>
      </c>
      <c r="R44" s="6">
        <v>0.36</v>
      </c>
      <c r="S44" s="6">
        <v>0.36</v>
      </c>
    </row>
    <row r="45" spans="1:19" ht="16" x14ac:dyDescent="0.2">
      <c r="A45" s="3" t="s">
        <v>53</v>
      </c>
      <c r="B45" s="6">
        <v>0.27</v>
      </c>
      <c r="C45" s="6">
        <v>0.35</v>
      </c>
      <c r="D45" s="6">
        <v>0.35</v>
      </c>
      <c r="E45" s="6">
        <v>0.34</v>
      </c>
      <c r="F45" s="6">
        <v>0.42</v>
      </c>
      <c r="G45" s="6">
        <v>0.55000000000000004</v>
      </c>
      <c r="H45" s="6">
        <v>0.83</v>
      </c>
      <c r="I45" s="6">
        <v>0.86</v>
      </c>
      <c r="J45" s="6">
        <v>1.23</v>
      </c>
      <c r="K45" s="6">
        <v>1.47</v>
      </c>
      <c r="L45" s="6">
        <v>1.95</v>
      </c>
      <c r="M45" s="6">
        <v>2.2599999999999998</v>
      </c>
      <c r="N45" s="6">
        <v>1.28</v>
      </c>
      <c r="O45" s="7">
        <v>1.28</v>
      </c>
      <c r="P45" s="6">
        <v>0.25</v>
      </c>
      <c r="Q45" s="6">
        <v>0.3</v>
      </c>
      <c r="R45" s="6">
        <v>0.36</v>
      </c>
      <c r="S45" s="6">
        <v>0.36</v>
      </c>
    </row>
    <row r="46" spans="1:19" ht="16" x14ac:dyDescent="0.2">
      <c r="A46" s="3" t="s">
        <v>54</v>
      </c>
      <c r="B46" s="4">
        <v>310984000</v>
      </c>
      <c r="C46" s="4">
        <v>343291000</v>
      </c>
      <c r="D46" s="4">
        <v>339720000</v>
      </c>
      <c r="E46" s="4">
        <v>357764000</v>
      </c>
      <c r="F46" s="4">
        <v>393294000</v>
      </c>
      <c r="G46" s="4">
        <v>456113000</v>
      </c>
      <c r="H46" s="4">
        <v>538105000</v>
      </c>
      <c r="I46" s="4">
        <v>664516000</v>
      </c>
      <c r="J46" s="4">
        <v>801809000</v>
      </c>
      <c r="K46" s="4">
        <v>920356000</v>
      </c>
      <c r="L46" s="4">
        <v>1259510000</v>
      </c>
      <c r="M46" s="4">
        <v>1513602000</v>
      </c>
      <c r="N46" s="4">
        <v>1646253000</v>
      </c>
      <c r="O46" s="5">
        <v>1646253000</v>
      </c>
      <c r="P46" s="4">
        <v>350830000</v>
      </c>
      <c r="Q46" s="4">
        <v>404292000</v>
      </c>
      <c r="R46" s="4">
        <v>456150000</v>
      </c>
      <c r="S46" s="4">
        <v>434981000</v>
      </c>
    </row>
    <row r="47" spans="1:19" ht="16" x14ac:dyDescent="0.2">
      <c r="A47" s="3" t="s">
        <v>55</v>
      </c>
      <c r="B47" s="6">
        <v>35.65</v>
      </c>
      <c r="C47" s="6">
        <v>37.15</v>
      </c>
      <c r="D47" s="6">
        <v>32.47</v>
      </c>
      <c r="E47" s="6">
        <v>30.75</v>
      </c>
      <c r="F47" s="6">
        <v>34.32</v>
      </c>
      <c r="G47" s="6">
        <v>35.96</v>
      </c>
      <c r="H47" s="6">
        <v>37.159999999999997</v>
      </c>
      <c r="I47" s="6">
        <v>36.799999999999997</v>
      </c>
      <c r="J47" s="6">
        <v>39.270000000000003</v>
      </c>
      <c r="K47" s="6">
        <v>41.73</v>
      </c>
      <c r="L47" s="6">
        <v>46.78</v>
      </c>
      <c r="M47" s="6">
        <v>43.23</v>
      </c>
      <c r="N47" s="6">
        <v>42.54</v>
      </c>
      <c r="O47" s="7">
        <v>42.54</v>
      </c>
      <c r="P47" s="6">
        <v>41.91</v>
      </c>
      <c r="Q47" s="6">
        <v>41.53</v>
      </c>
      <c r="R47" s="6">
        <v>41.87</v>
      </c>
      <c r="S47" s="6">
        <v>42.54</v>
      </c>
    </row>
    <row r="48" spans="1:19" ht="16" x14ac:dyDescent="0.2">
      <c r="A48" s="3" t="s">
        <v>56</v>
      </c>
      <c r="B48" s="4">
        <v>265290000</v>
      </c>
      <c r="C48" s="4">
        <v>295124000</v>
      </c>
      <c r="D48" s="4">
        <v>282992000</v>
      </c>
      <c r="E48" s="4">
        <v>304038000</v>
      </c>
      <c r="F48" s="4">
        <v>344401000</v>
      </c>
      <c r="G48" s="4">
        <v>406470000</v>
      </c>
      <c r="H48" s="4">
        <v>480664000</v>
      </c>
      <c r="I48" s="4">
        <v>585476000</v>
      </c>
      <c r="J48" s="4">
        <v>716475000</v>
      </c>
      <c r="K48" s="4">
        <v>816099000</v>
      </c>
      <c r="L48" s="4">
        <v>1136426000</v>
      </c>
      <c r="M48" s="4">
        <v>1374997000</v>
      </c>
      <c r="N48" s="4">
        <v>1486569000</v>
      </c>
      <c r="O48" s="5">
        <v>1486569000</v>
      </c>
      <c r="P48" s="4">
        <v>311503000</v>
      </c>
      <c r="Q48" s="4">
        <v>365525000</v>
      </c>
      <c r="R48" s="4">
        <v>418924000</v>
      </c>
      <c r="S48" s="4">
        <v>390617000</v>
      </c>
    </row>
    <row r="49" spans="1:19" ht="16" x14ac:dyDescent="0.2">
      <c r="A49" s="3" t="s">
        <v>57</v>
      </c>
      <c r="B49" s="4">
        <v>265290000</v>
      </c>
      <c r="C49" s="4">
        <v>295124000</v>
      </c>
      <c r="D49" s="4">
        <v>282992000</v>
      </c>
      <c r="E49" s="4">
        <v>304038000</v>
      </c>
      <c r="F49" s="4">
        <v>344401000</v>
      </c>
      <c r="G49" s="4">
        <v>406470000</v>
      </c>
      <c r="H49" s="4">
        <v>480664000</v>
      </c>
      <c r="I49" s="4">
        <v>585476000</v>
      </c>
      <c r="J49" s="4">
        <v>716475000</v>
      </c>
      <c r="K49" s="4">
        <v>816099000</v>
      </c>
      <c r="L49" s="4">
        <v>1136426000</v>
      </c>
      <c r="M49" s="4">
        <v>1374997000</v>
      </c>
      <c r="N49" s="4">
        <v>1486569000</v>
      </c>
      <c r="O49" s="5">
        <v>1486569000</v>
      </c>
      <c r="P49" s="4">
        <v>311503000</v>
      </c>
      <c r="Q49" s="4">
        <v>365525000</v>
      </c>
      <c r="R49" s="4">
        <v>418924000</v>
      </c>
      <c r="S49" s="4">
        <v>390617000</v>
      </c>
    </row>
    <row r="50" spans="1:19" ht="16" x14ac:dyDescent="0.2">
      <c r="A50" s="3" t="s">
        <v>61</v>
      </c>
      <c r="B50" s="4">
        <v>308760</v>
      </c>
      <c r="C50" s="4">
        <v>310027</v>
      </c>
      <c r="D50" s="4">
        <v>270035</v>
      </c>
      <c r="E50" s="4">
        <v>278413</v>
      </c>
      <c r="F50" s="4">
        <v>268591</v>
      </c>
      <c r="G50" s="4">
        <v>261860</v>
      </c>
      <c r="H50" s="4">
        <v>272023</v>
      </c>
      <c r="I50" s="4">
        <v>299651</v>
      </c>
      <c r="J50" s="4">
        <v>278689</v>
      </c>
      <c r="K50" s="4">
        <v>290208</v>
      </c>
      <c r="L50" s="4">
        <v>313083</v>
      </c>
      <c r="M50" s="4">
        <v>368518</v>
      </c>
      <c r="N50" s="4" t="s">
        <v>24</v>
      </c>
      <c r="O50" s="5" t="s">
        <v>24</v>
      </c>
      <c r="P50" s="4">
        <v>94039</v>
      </c>
      <c r="Q50" s="4">
        <v>100708</v>
      </c>
      <c r="R50" s="4">
        <v>107561</v>
      </c>
      <c r="S50" s="4" t="s">
        <v>24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45694000</v>
      </c>
      <c r="C52" s="4">
        <v>48167000</v>
      </c>
      <c r="D52" s="4">
        <v>56728000</v>
      </c>
      <c r="E52" s="4">
        <v>53726000</v>
      </c>
      <c r="F52" s="4">
        <v>48893000</v>
      </c>
      <c r="G52" s="4">
        <v>49643000</v>
      </c>
      <c r="H52" s="4">
        <v>57441000</v>
      </c>
      <c r="I52" s="4">
        <v>79040000</v>
      </c>
      <c r="J52" s="4">
        <v>85334000</v>
      </c>
      <c r="K52" s="4">
        <v>104257000</v>
      </c>
      <c r="L52" s="4">
        <v>123084000</v>
      </c>
      <c r="M52" s="4">
        <v>138605000</v>
      </c>
      <c r="N52" s="4">
        <v>159684000</v>
      </c>
      <c r="O52" s="5">
        <v>159684000</v>
      </c>
      <c r="P52" s="4">
        <v>39327000</v>
      </c>
      <c r="Q52" s="4">
        <v>38767000</v>
      </c>
      <c r="R52" s="4">
        <v>37226000</v>
      </c>
      <c r="S52" s="4">
        <v>44364000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241868000</v>
      </c>
      <c r="C55" s="4">
        <v>322293000</v>
      </c>
      <c r="D55" s="4">
        <v>306452000</v>
      </c>
      <c r="E55" s="4">
        <v>412291000</v>
      </c>
      <c r="F55" s="4">
        <v>734582000</v>
      </c>
      <c r="G55" s="4">
        <v>499306000</v>
      </c>
      <c r="H55" s="4">
        <v>587261000</v>
      </c>
      <c r="I55" s="4">
        <v>709116000</v>
      </c>
      <c r="J55" s="4">
        <v>687167000</v>
      </c>
      <c r="K55" s="4">
        <v>963759000</v>
      </c>
      <c r="L55" s="4">
        <v>1702611000</v>
      </c>
      <c r="M55" s="4">
        <v>2202455000</v>
      </c>
      <c r="N55" s="4">
        <v>3262604000</v>
      </c>
      <c r="O55" s="5">
        <v>3262604000</v>
      </c>
      <c r="P55" s="4">
        <v>2364605000</v>
      </c>
      <c r="Q55" s="4">
        <v>2638781000</v>
      </c>
      <c r="R55" s="4">
        <v>3001030000</v>
      </c>
      <c r="S55" s="4">
        <v>3262604000</v>
      </c>
    </row>
    <row r="56" spans="1:19" ht="16" x14ac:dyDescent="0.2">
      <c r="A56" s="3" t="s">
        <v>65</v>
      </c>
      <c r="B56" s="4">
        <v>74009000</v>
      </c>
      <c r="C56" s="4">
        <v>140112000</v>
      </c>
      <c r="D56" s="4">
        <v>63631000</v>
      </c>
      <c r="E56" s="4">
        <v>158668000</v>
      </c>
      <c r="F56" s="4">
        <v>456012000</v>
      </c>
      <c r="G56" s="4">
        <v>155849000</v>
      </c>
      <c r="H56" s="4">
        <v>210100000</v>
      </c>
      <c r="I56" s="4">
        <v>274520000</v>
      </c>
      <c r="J56" s="4">
        <v>186319000</v>
      </c>
      <c r="K56" s="4">
        <v>477718000</v>
      </c>
      <c r="L56" s="4">
        <v>1048260000</v>
      </c>
      <c r="M56" s="4">
        <v>1384236000</v>
      </c>
      <c r="N56" s="4">
        <v>2363984000</v>
      </c>
      <c r="O56" s="5">
        <v>2363984000</v>
      </c>
      <c r="P56" s="4">
        <v>1539391000</v>
      </c>
      <c r="Q56" s="4">
        <v>1660952000</v>
      </c>
      <c r="R56" s="4">
        <v>2114183000</v>
      </c>
      <c r="S56" s="4">
        <v>2363984000</v>
      </c>
    </row>
    <row r="57" spans="1:19" ht="16" x14ac:dyDescent="0.2">
      <c r="A57" s="3" t="s">
        <v>66</v>
      </c>
      <c r="B57" s="4">
        <v>74009000</v>
      </c>
      <c r="C57" s="4">
        <v>140112000</v>
      </c>
      <c r="D57" s="4">
        <v>63631000</v>
      </c>
      <c r="E57" s="4">
        <v>158668000</v>
      </c>
      <c r="F57" s="4">
        <v>456012000</v>
      </c>
      <c r="G57" s="4">
        <v>155849000</v>
      </c>
      <c r="H57" s="4">
        <v>210100000</v>
      </c>
      <c r="I57" s="4">
        <v>274520000</v>
      </c>
      <c r="J57" s="4">
        <v>186319000</v>
      </c>
      <c r="K57" s="4">
        <v>477718000</v>
      </c>
      <c r="L57" s="4">
        <v>1048260000</v>
      </c>
      <c r="M57" s="4">
        <v>1384236000</v>
      </c>
      <c r="N57" s="4">
        <v>957395000</v>
      </c>
      <c r="O57" s="5">
        <v>957395000</v>
      </c>
      <c r="P57" s="4">
        <v>1539391000</v>
      </c>
      <c r="Q57" s="4">
        <v>1660952000</v>
      </c>
      <c r="R57" s="4">
        <v>2114183000</v>
      </c>
      <c r="S57" s="4">
        <v>957395000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v>1406589000</v>
      </c>
      <c r="O58" s="5">
        <v>1406589000</v>
      </c>
      <c r="P58" s="4" t="s">
        <v>24</v>
      </c>
      <c r="Q58" s="4" t="s">
        <v>24</v>
      </c>
      <c r="R58" s="4" t="s">
        <v>24</v>
      </c>
      <c r="S58" s="4">
        <v>1406589000</v>
      </c>
    </row>
    <row r="59" spans="1:19" ht="16" x14ac:dyDescent="0.2">
      <c r="A59" s="3" t="s">
        <v>68</v>
      </c>
      <c r="B59" s="4">
        <v>128004000</v>
      </c>
      <c r="C59" s="4">
        <v>141278000</v>
      </c>
      <c r="D59" s="4">
        <v>192130000</v>
      </c>
      <c r="E59" s="4">
        <v>199273000</v>
      </c>
      <c r="F59" s="4">
        <v>221788000</v>
      </c>
      <c r="G59" s="4">
        <v>285021000</v>
      </c>
      <c r="H59" s="4">
        <v>318264000</v>
      </c>
      <c r="I59" s="4">
        <v>366913000</v>
      </c>
      <c r="J59" s="4">
        <v>386791000</v>
      </c>
      <c r="K59" s="4">
        <v>376947000</v>
      </c>
      <c r="L59" s="4">
        <v>500640000</v>
      </c>
      <c r="M59" s="4">
        <v>628455000</v>
      </c>
      <c r="N59" s="4">
        <v>708612000</v>
      </c>
      <c r="O59" s="5">
        <v>708612000</v>
      </c>
      <c r="P59" s="4">
        <v>634225000</v>
      </c>
      <c r="Q59" s="4">
        <v>765628000</v>
      </c>
      <c r="R59" s="4">
        <v>694262000</v>
      </c>
      <c r="S59" s="4">
        <v>708612000</v>
      </c>
    </row>
    <row r="60" spans="1:19" ht="16" x14ac:dyDescent="0.2">
      <c r="A60" s="3" t="s">
        <v>69</v>
      </c>
      <c r="B60" s="4">
        <v>122859000</v>
      </c>
      <c r="C60" s="4">
        <v>138966000</v>
      </c>
      <c r="D60" s="4">
        <v>182714000</v>
      </c>
      <c r="E60" s="4">
        <v>196985000</v>
      </c>
      <c r="F60" s="4">
        <v>215696000</v>
      </c>
      <c r="G60" s="4">
        <v>266270000</v>
      </c>
      <c r="H60" s="4">
        <v>311846000</v>
      </c>
      <c r="I60" s="4">
        <v>351601000</v>
      </c>
      <c r="J60" s="4">
        <v>367265000</v>
      </c>
      <c r="K60" s="4">
        <v>350207000</v>
      </c>
      <c r="L60" s="4">
        <v>480628000</v>
      </c>
      <c r="M60" s="4">
        <v>578573000</v>
      </c>
      <c r="N60" s="4">
        <v>702038000</v>
      </c>
      <c r="O60" s="5">
        <v>702038000</v>
      </c>
      <c r="P60" s="4">
        <v>628964000</v>
      </c>
      <c r="Q60" s="4">
        <v>765192000</v>
      </c>
      <c r="R60" s="4">
        <v>693834000</v>
      </c>
      <c r="S60" s="4">
        <v>702038000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5145000</v>
      </c>
      <c r="C63" s="4">
        <v>2312000</v>
      </c>
      <c r="D63" s="4">
        <v>9416000</v>
      </c>
      <c r="E63" s="4">
        <v>2288000</v>
      </c>
      <c r="F63" s="4">
        <v>6092000</v>
      </c>
      <c r="G63" s="4">
        <v>18751000</v>
      </c>
      <c r="H63" s="4">
        <v>6418000</v>
      </c>
      <c r="I63" s="4">
        <v>15312000</v>
      </c>
      <c r="J63" s="4">
        <v>19526000</v>
      </c>
      <c r="K63" s="4">
        <v>26740000</v>
      </c>
      <c r="L63" s="4">
        <v>20012000</v>
      </c>
      <c r="M63" s="4">
        <v>49882000</v>
      </c>
      <c r="N63" s="4">
        <v>6574000</v>
      </c>
      <c r="O63" s="5">
        <v>6574000</v>
      </c>
      <c r="P63" s="4">
        <v>5261000</v>
      </c>
      <c r="Q63" s="4">
        <v>436000</v>
      </c>
      <c r="R63" s="4">
        <v>428000</v>
      </c>
      <c r="S63" s="4">
        <v>6574000</v>
      </c>
    </row>
    <row r="64" spans="1:19" ht="16" x14ac:dyDescent="0.2">
      <c r="A64" s="3" t="s">
        <v>73</v>
      </c>
      <c r="B64" s="4">
        <v>25042000</v>
      </c>
      <c r="C64" s="4">
        <v>24222000</v>
      </c>
      <c r="D64" s="4">
        <v>31202000</v>
      </c>
      <c r="E64" s="4">
        <v>7259000</v>
      </c>
      <c r="F64" s="4">
        <v>8613000</v>
      </c>
      <c r="G64" s="4">
        <v>10388000</v>
      </c>
      <c r="H64" s="4">
        <v>10163000</v>
      </c>
      <c r="I64" s="4">
        <v>16734000</v>
      </c>
      <c r="J64" s="4">
        <v>20941000</v>
      </c>
      <c r="K64" s="4">
        <v>20080000</v>
      </c>
      <c r="L64" s="4">
        <v>44968000</v>
      </c>
      <c r="M64" s="4">
        <v>58791000</v>
      </c>
      <c r="N64" s="4">
        <v>39973000</v>
      </c>
      <c r="O64" s="5">
        <v>39973000</v>
      </c>
      <c r="P64" s="4">
        <v>53866000</v>
      </c>
      <c r="Q64" s="4">
        <v>52071000</v>
      </c>
      <c r="R64" s="4">
        <v>44999000</v>
      </c>
      <c r="S64" s="4">
        <v>39973000</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v>25042000</v>
      </c>
      <c r="C69" s="4">
        <v>24222000</v>
      </c>
      <c r="D69" s="4">
        <v>31202000</v>
      </c>
      <c r="E69" s="4">
        <v>7259000</v>
      </c>
      <c r="F69" s="4">
        <v>8613000</v>
      </c>
      <c r="G69" s="4">
        <v>10388000</v>
      </c>
      <c r="H69" s="4">
        <v>10163000</v>
      </c>
      <c r="I69" s="4">
        <v>16734000</v>
      </c>
      <c r="J69" s="4">
        <v>20941000</v>
      </c>
      <c r="K69" s="4">
        <v>20080000</v>
      </c>
      <c r="L69" s="4">
        <v>44968000</v>
      </c>
      <c r="M69" s="4">
        <v>58791000</v>
      </c>
      <c r="N69" s="4">
        <v>39973000</v>
      </c>
      <c r="O69" s="5">
        <v>39973000</v>
      </c>
      <c r="P69" s="4">
        <v>53866000</v>
      </c>
      <c r="Q69" s="4">
        <v>52071000</v>
      </c>
      <c r="R69" s="4">
        <v>44999000</v>
      </c>
      <c r="S69" s="4">
        <v>39973000</v>
      </c>
    </row>
    <row r="70" spans="1:19" ht="16" x14ac:dyDescent="0.2">
      <c r="A70" s="3" t="s">
        <v>79</v>
      </c>
      <c r="B70" s="4">
        <v>14813000</v>
      </c>
      <c r="C70" s="4">
        <v>16681000</v>
      </c>
      <c r="D70" s="4">
        <v>19489000</v>
      </c>
      <c r="E70" s="4">
        <v>47091000</v>
      </c>
      <c r="F70" s="4">
        <v>48169000</v>
      </c>
      <c r="G70" s="4">
        <v>48048000</v>
      </c>
      <c r="H70" s="4">
        <v>48734000</v>
      </c>
      <c r="I70" s="4">
        <v>50949000</v>
      </c>
      <c r="J70" s="4">
        <v>93116000</v>
      </c>
      <c r="K70" s="4">
        <v>89014000</v>
      </c>
      <c r="L70" s="4">
        <v>108743000</v>
      </c>
      <c r="M70" s="4">
        <v>130973000</v>
      </c>
      <c r="N70" s="4">
        <v>150035000</v>
      </c>
      <c r="O70" s="5">
        <v>150035000</v>
      </c>
      <c r="P70" s="4">
        <v>137123000</v>
      </c>
      <c r="Q70" s="4">
        <v>160130000</v>
      </c>
      <c r="R70" s="4">
        <v>147586000</v>
      </c>
      <c r="S70" s="4">
        <v>150035000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842568000</v>
      </c>
      <c r="C76" s="4">
        <v>832773000</v>
      </c>
      <c r="D76" s="4">
        <v>1028029000</v>
      </c>
      <c r="E76" s="4">
        <v>1094513000</v>
      </c>
      <c r="F76" s="4">
        <v>1065370000</v>
      </c>
      <c r="G76" s="4">
        <v>1150514000</v>
      </c>
      <c r="H76" s="4">
        <v>1395240000</v>
      </c>
      <c r="I76" s="4">
        <v>1598582000</v>
      </c>
      <c r="J76" s="4">
        <v>1860450000</v>
      </c>
      <c r="K76" s="4">
        <v>2491502000</v>
      </c>
      <c r="L76" s="4">
        <v>2859532000</v>
      </c>
      <c r="M76" s="4">
        <v>3106409000</v>
      </c>
      <c r="N76" s="4">
        <v>3475275000</v>
      </c>
      <c r="O76" s="5">
        <v>3475275000</v>
      </c>
      <c r="P76" s="4">
        <v>3229072000</v>
      </c>
      <c r="Q76" s="4">
        <v>3293627000</v>
      </c>
      <c r="R76" s="4">
        <v>3348775000</v>
      </c>
      <c r="S76" s="4">
        <v>3475275000</v>
      </c>
    </row>
    <row r="77" spans="1:19" ht="16" x14ac:dyDescent="0.2">
      <c r="A77" s="3" t="s">
        <v>86</v>
      </c>
      <c r="B77" s="4">
        <v>600388000</v>
      </c>
      <c r="C77" s="4">
        <v>587163000</v>
      </c>
      <c r="D77" s="4">
        <v>677517000</v>
      </c>
      <c r="E77" s="4">
        <v>692383000</v>
      </c>
      <c r="F77" s="4">
        <v>700402000</v>
      </c>
      <c r="G77" s="4">
        <v>816791000</v>
      </c>
      <c r="H77" s="4">
        <v>944056000</v>
      </c>
      <c r="I77" s="4">
        <v>1163425000</v>
      </c>
      <c r="J77" s="4">
        <v>1427726000</v>
      </c>
      <c r="K77" s="4">
        <v>1435633000</v>
      </c>
      <c r="L77" s="4">
        <v>1685339000</v>
      </c>
      <c r="M77" s="4">
        <v>1759705000</v>
      </c>
      <c r="N77" s="4">
        <v>2952478000</v>
      </c>
      <c r="O77" s="5">
        <v>2952478000</v>
      </c>
      <c r="P77" s="4">
        <v>1823192000</v>
      </c>
      <c r="Q77" s="4">
        <v>1853055000</v>
      </c>
      <c r="R77" s="4">
        <v>1873379000</v>
      </c>
      <c r="S77" s="4">
        <v>2952478000</v>
      </c>
    </row>
    <row r="78" spans="1:19" ht="16" x14ac:dyDescent="0.2">
      <c r="A78" s="3" t="s">
        <v>87</v>
      </c>
      <c r="B78" s="4">
        <v>892717000</v>
      </c>
      <c r="C78" s="4">
        <v>910593000</v>
      </c>
      <c r="D78" s="4">
        <v>1049623000</v>
      </c>
      <c r="E78" s="4">
        <v>1077617000</v>
      </c>
      <c r="F78" s="4">
        <v>1115755000</v>
      </c>
      <c r="G78" s="4">
        <v>1232328000</v>
      </c>
      <c r="H78" s="4">
        <v>1396050000</v>
      </c>
      <c r="I78" s="4">
        <v>1653545000</v>
      </c>
      <c r="J78" s="4">
        <v>1965348000</v>
      </c>
      <c r="K78" s="4">
        <v>2060174000</v>
      </c>
      <c r="L78" s="4">
        <v>2416111000</v>
      </c>
      <c r="M78" s="4">
        <v>2602067000</v>
      </c>
      <c r="N78" s="4">
        <v>2952478000</v>
      </c>
      <c r="O78" s="5">
        <v>2952478000</v>
      </c>
      <c r="P78" s="4">
        <v>2695011000</v>
      </c>
      <c r="Q78" s="4">
        <v>2762929000</v>
      </c>
      <c r="R78" s="4">
        <v>2816193000</v>
      </c>
      <c r="S78" s="4">
        <v>2952478000</v>
      </c>
    </row>
    <row r="79" spans="1:19" ht="16" x14ac:dyDescent="0.2">
      <c r="A79" s="3" t="s">
        <v>88</v>
      </c>
      <c r="B79" s="4">
        <v>292329000</v>
      </c>
      <c r="C79" s="4">
        <v>323430000</v>
      </c>
      <c r="D79" s="4">
        <v>372106000</v>
      </c>
      <c r="E79" s="4">
        <v>385234000</v>
      </c>
      <c r="F79" s="4">
        <v>415353000</v>
      </c>
      <c r="G79" s="4">
        <v>415537000</v>
      </c>
      <c r="H79" s="4">
        <v>451994000</v>
      </c>
      <c r="I79" s="4">
        <v>490120000</v>
      </c>
      <c r="J79" s="4">
        <v>537622000</v>
      </c>
      <c r="K79" s="4">
        <v>624541000</v>
      </c>
      <c r="L79" s="4">
        <v>730772000</v>
      </c>
      <c r="M79" s="4">
        <v>842362000</v>
      </c>
      <c r="N79" s="4" t="s">
        <v>24</v>
      </c>
      <c r="O79" s="5" t="s">
        <v>24</v>
      </c>
      <c r="P79" s="4">
        <v>871819000</v>
      </c>
      <c r="Q79" s="4">
        <v>909874000</v>
      </c>
      <c r="R79" s="4">
        <v>942814000</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242180000</v>
      </c>
      <c r="C83" s="4">
        <v>245610000</v>
      </c>
      <c r="D83" s="4">
        <v>350512000</v>
      </c>
      <c r="E83" s="4">
        <v>402130000</v>
      </c>
      <c r="F83" s="4">
        <v>364968000</v>
      </c>
      <c r="G83" s="4">
        <v>333723000</v>
      </c>
      <c r="H83" s="4">
        <v>451184000</v>
      </c>
      <c r="I83" s="4">
        <v>435157000</v>
      </c>
      <c r="J83" s="4">
        <v>432724000</v>
      </c>
      <c r="K83" s="4">
        <v>1055869000</v>
      </c>
      <c r="L83" s="4">
        <v>1174193000</v>
      </c>
      <c r="M83" s="4">
        <v>1346704000</v>
      </c>
      <c r="N83" s="4">
        <v>522797000</v>
      </c>
      <c r="O83" s="5">
        <v>522797000</v>
      </c>
      <c r="P83" s="4">
        <v>1405880000</v>
      </c>
      <c r="Q83" s="4">
        <v>1440572000</v>
      </c>
      <c r="R83" s="4">
        <v>1475396000</v>
      </c>
      <c r="S83" s="4">
        <v>522797000</v>
      </c>
    </row>
    <row r="84" spans="1:19" ht="16" x14ac:dyDescent="0.2">
      <c r="A84" s="3" t="s">
        <v>93</v>
      </c>
      <c r="B84" s="4">
        <v>211368000</v>
      </c>
      <c r="C84" s="4">
        <v>204423000</v>
      </c>
      <c r="D84" s="4">
        <v>285169000</v>
      </c>
      <c r="E84" s="4">
        <v>309022000</v>
      </c>
      <c r="F84" s="4">
        <v>289707000</v>
      </c>
      <c r="G84" s="4">
        <v>271959000</v>
      </c>
      <c r="H84" s="4">
        <v>416181000</v>
      </c>
      <c r="I84" s="4">
        <v>402127000</v>
      </c>
      <c r="J84" s="4">
        <v>388477000</v>
      </c>
      <c r="K84" s="4">
        <v>391394000</v>
      </c>
      <c r="L84" s="4">
        <v>401590000</v>
      </c>
      <c r="M84" s="4">
        <v>456634000</v>
      </c>
      <c r="N84" s="4">
        <v>456991000</v>
      </c>
      <c r="O84" s="5">
        <v>456991000</v>
      </c>
      <c r="P84" s="4">
        <v>446691000</v>
      </c>
      <c r="Q84" s="4">
        <v>455232000</v>
      </c>
      <c r="R84" s="4">
        <v>456316000</v>
      </c>
      <c r="S84" s="4">
        <v>456991000</v>
      </c>
    </row>
    <row r="85" spans="1:19" ht="16" x14ac:dyDescent="0.2">
      <c r="A85" s="3" t="s">
        <v>94</v>
      </c>
      <c r="B85" s="4">
        <v>198620000</v>
      </c>
      <c r="C85" s="4">
        <v>196438000</v>
      </c>
      <c r="D85" s="4">
        <v>267463000</v>
      </c>
      <c r="E85" s="4">
        <v>283780000</v>
      </c>
      <c r="F85" s="4">
        <v>271850000</v>
      </c>
      <c r="G85" s="4">
        <v>260198000</v>
      </c>
      <c r="H85" s="4">
        <v>340243000</v>
      </c>
      <c r="I85" s="4">
        <v>337235000</v>
      </c>
      <c r="J85" s="4">
        <v>333321000</v>
      </c>
      <c r="K85" s="4">
        <v>343622000</v>
      </c>
      <c r="L85" s="4">
        <v>355717000</v>
      </c>
      <c r="M85" s="4">
        <v>401954000</v>
      </c>
      <c r="N85" s="4">
        <v>394289000</v>
      </c>
      <c r="O85" s="5">
        <v>394289000</v>
      </c>
      <c r="P85" s="4">
        <v>394844000</v>
      </c>
      <c r="Q85" s="4">
        <v>404046000</v>
      </c>
      <c r="R85" s="4">
        <v>406640000</v>
      </c>
      <c r="S85" s="4">
        <v>394289000</v>
      </c>
    </row>
    <row r="86" spans="1:19" ht="16" x14ac:dyDescent="0.2">
      <c r="A86" s="3" t="s">
        <v>95</v>
      </c>
      <c r="B86" s="4">
        <v>12748000</v>
      </c>
      <c r="C86" s="4">
        <v>7985000</v>
      </c>
      <c r="D86" s="4">
        <v>17706000</v>
      </c>
      <c r="E86" s="4">
        <v>25242000</v>
      </c>
      <c r="F86" s="4">
        <v>17857000</v>
      </c>
      <c r="G86" s="4">
        <v>11761000</v>
      </c>
      <c r="H86" s="4">
        <v>75938000</v>
      </c>
      <c r="I86" s="4">
        <v>64892000</v>
      </c>
      <c r="J86" s="4">
        <v>55156000</v>
      </c>
      <c r="K86" s="4">
        <v>47772000</v>
      </c>
      <c r="L86" s="4">
        <v>45873000</v>
      </c>
      <c r="M86" s="4">
        <v>54680000</v>
      </c>
      <c r="N86" s="4">
        <v>62702000</v>
      </c>
      <c r="O86" s="5">
        <v>62702000</v>
      </c>
      <c r="P86" s="4">
        <v>51847000</v>
      </c>
      <c r="Q86" s="4">
        <v>51186000</v>
      </c>
      <c r="R86" s="4">
        <v>49676000</v>
      </c>
      <c r="S86" s="4">
        <v>62702000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30812000</v>
      </c>
      <c r="C89" s="4">
        <v>41187000</v>
      </c>
      <c r="D89" s="4">
        <v>65343000</v>
      </c>
      <c r="E89" s="4">
        <v>93108000</v>
      </c>
      <c r="F89" s="4">
        <v>75261000</v>
      </c>
      <c r="G89" s="4">
        <v>61764000</v>
      </c>
      <c r="H89" s="4">
        <v>35003000</v>
      </c>
      <c r="I89" s="4">
        <v>33030000</v>
      </c>
      <c r="J89" s="4">
        <v>44247000</v>
      </c>
      <c r="K89" s="4">
        <v>664475000</v>
      </c>
      <c r="L89" s="4">
        <v>772603000</v>
      </c>
      <c r="M89" s="4">
        <v>890070000</v>
      </c>
      <c r="N89" s="4">
        <v>65806000</v>
      </c>
      <c r="O89" s="5">
        <v>65806000</v>
      </c>
      <c r="P89" s="4">
        <v>959189000</v>
      </c>
      <c r="Q89" s="4">
        <v>985340000</v>
      </c>
      <c r="R89" s="4">
        <v>1019080000</v>
      </c>
      <c r="S89" s="4">
        <v>65806000</v>
      </c>
    </row>
    <row r="90" spans="1:19" ht="16" x14ac:dyDescent="0.2">
      <c r="A90" s="3" t="s">
        <v>99</v>
      </c>
      <c r="B90" s="4">
        <v>1084436000</v>
      </c>
      <c r="C90" s="4">
        <v>1155066000</v>
      </c>
      <c r="D90" s="4">
        <v>1334481000</v>
      </c>
      <c r="E90" s="4">
        <v>1506804000</v>
      </c>
      <c r="F90" s="4">
        <v>1799952000</v>
      </c>
      <c r="G90" s="4">
        <v>1649820000</v>
      </c>
      <c r="H90" s="4">
        <v>1982501000</v>
      </c>
      <c r="I90" s="4">
        <v>2307698000</v>
      </c>
      <c r="J90" s="4">
        <v>2547617000</v>
      </c>
      <c r="K90" s="4">
        <v>3455261000</v>
      </c>
      <c r="L90" s="4">
        <v>4562143000</v>
      </c>
      <c r="M90" s="4">
        <v>5308864000</v>
      </c>
      <c r="N90" s="4">
        <v>6737879000</v>
      </c>
      <c r="O90" s="5">
        <v>6737879000</v>
      </c>
      <c r="P90" s="4">
        <v>5593677000</v>
      </c>
      <c r="Q90" s="4">
        <v>5932408000</v>
      </c>
      <c r="R90" s="4">
        <v>6349805000</v>
      </c>
      <c r="S90" s="4">
        <v>6737879000</v>
      </c>
    </row>
    <row r="91" spans="1:19" ht="16" x14ac:dyDescent="0.2">
      <c r="A91" s="3" t="s">
        <v>100</v>
      </c>
      <c r="B91" s="4">
        <v>105251000</v>
      </c>
      <c r="C91" s="4">
        <v>106040000</v>
      </c>
      <c r="D91" s="4">
        <v>141389000</v>
      </c>
      <c r="E91" s="4">
        <v>160440000</v>
      </c>
      <c r="F91" s="4">
        <v>155731000</v>
      </c>
      <c r="G91" s="4">
        <v>198004000</v>
      </c>
      <c r="H91" s="4">
        <v>214887000</v>
      </c>
      <c r="I91" s="4">
        <v>271617000</v>
      </c>
      <c r="J91" s="4">
        <v>274400000</v>
      </c>
      <c r="K91" s="4">
        <v>322239000</v>
      </c>
      <c r="L91" s="4">
        <v>377586000</v>
      </c>
      <c r="M91" s="4">
        <v>399034000</v>
      </c>
      <c r="N91" s="4">
        <v>445184000</v>
      </c>
      <c r="O91" s="5">
        <v>445184000</v>
      </c>
      <c r="P91" s="4">
        <v>463075000</v>
      </c>
      <c r="Q91" s="4">
        <v>443091000</v>
      </c>
      <c r="R91" s="4">
        <v>460000000</v>
      </c>
      <c r="S91" s="4">
        <v>445184000</v>
      </c>
    </row>
    <row r="92" spans="1:19" ht="16" x14ac:dyDescent="0.2">
      <c r="A92" s="3" t="s">
        <v>101</v>
      </c>
      <c r="B92" s="4">
        <v>101708000</v>
      </c>
      <c r="C92" s="4">
        <v>102958000</v>
      </c>
      <c r="D92" s="4">
        <v>136648000</v>
      </c>
      <c r="E92" s="4">
        <v>152156000</v>
      </c>
      <c r="F92" s="4">
        <v>147452000</v>
      </c>
      <c r="G92" s="4">
        <v>192379000</v>
      </c>
      <c r="H92" s="4">
        <v>208415000</v>
      </c>
      <c r="I92" s="4">
        <v>270944000</v>
      </c>
      <c r="J92" s="4">
        <v>270918000</v>
      </c>
      <c r="K92" s="4">
        <v>318530000</v>
      </c>
      <c r="L92" s="4">
        <v>369826000</v>
      </c>
      <c r="M92" s="4">
        <v>399034000</v>
      </c>
      <c r="N92" s="4">
        <v>440810000</v>
      </c>
      <c r="O92" s="5">
        <v>440810000</v>
      </c>
      <c r="P92" s="4">
        <v>446974000</v>
      </c>
      <c r="Q92" s="4">
        <v>439271000</v>
      </c>
      <c r="R92" s="4">
        <v>441466000</v>
      </c>
      <c r="S92" s="4">
        <v>440810000</v>
      </c>
    </row>
    <row r="93" spans="1:19" ht="16" x14ac:dyDescent="0.2">
      <c r="A93" s="3" t="s">
        <v>102</v>
      </c>
      <c r="B93" s="4">
        <v>3543000</v>
      </c>
      <c r="C93" s="4">
        <v>3082000</v>
      </c>
      <c r="D93" s="4">
        <v>4741000</v>
      </c>
      <c r="E93" s="4">
        <v>8284000</v>
      </c>
      <c r="F93" s="4">
        <v>8279000</v>
      </c>
      <c r="G93" s="4">
        <v>5625000</v>
      </c>
      <c r="H93" s="4">
        <v>6472000</v>
      </c>
      <c r="I93" s="4">
        <v>673000</v>
      </c>
      <c r="J93" s="4">
        <v>3482000</v>
      </c>
      <c r="K93" s="4">
        <v>3709000</v>
      </c>
      <c r="L93" s="4">
        <v>7760000</v>
      </c>
      <c r="M93" s="4">
        <v>6906000</v>
      </c>
      <c r="N93" s="4">
        <v>4374000</v>
      </c>
      <c r="O93" s="5">
        <v>4374000</v>
      </c>
      <c r="P93" s="4">
        <v>16101000</v>
      </c>
      <c r="Q93" s="4">
        <v>3820000</v>
      </c>
      <c r="R93" s="4">
        <v>18534000</v>
      </c>
      <c r="S93" s="4">
        <v>4374000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t="s">
        <v>24</v>
      </c>
      <c r="D95" s="4" t="s">
        <v>24</v>
      </c>
      <c r="E95" s="4" t="s">
        <v>24</v>
      </c>
      <c r="F95" s="4" t="s">
        <v>24</v>
      </c>
      <c r="G95" s="4" t="s">
        <v>24</v>
      </c>
      <c r="H95" s="4" t="s">
        <v>24</v>
      </c>
      <c r="I95" s="4" t="s">
        <v>24</v>
      </c>
      <c r="J95" s="4" t="s">
        <v>24</v>
      </c>
      <c r="K95" s="4" t="s">
        <v>24</v>
      </c>
      <c r="L95" s="4" t="s">
        <v>24</v>
      </c>
      <c r="M95" s="4">
        <v>-6906000</v>
      </c>
      <c r="N95" s="4" t="s">
        <v>24</v>
      </c>
      <c r="O95" s="5" t="s">
        <v>24</v>
      </c>
      <c r="P95" s="4" t="s">
        <v>24</v>
      </c>
      <c r="Q95" s="4" t="s">
        <v>24</v>
      </c>
      <c r="R95" s="4" t="s">
        <v>24</v>
      </c>
      <c r="S95" s="4" t="s">
        <v>24</v>
      </c>
    </row>
    <row r="96" spans="1:19" ht="16" x14ac:dyDescent="0.2">
      <c r="A96" s="3" t="s">
        <v>105</v>
      </c>
      <c r="B96" s="4">
        <v>50370000</v>
      </c>
      <c r="C96" s="4">
        <v>75170000</v>
      </c>
      <c r="D96" s="4">
        <v>92338000</v>
      </c>
      <c r="E96" s="4">
        <v>79674000</v>
      </c>
      <c r="F96" s="4">
        <v>53671000</v>
      </c>
      <c r="G96" s="4">
        <v>76151000</v>
      </c>
      <c r="H96" s="4">
        <v>82155000</v>
      </c>
      <c r="I96" s="4">
        <v>1151000</v>
      </c>
      <c r="J96" s="4">
        <v>1138000</v>
      </c>
      <c r="K96" s="4">
        <v>25572000</v>
      </c>
      <c r="L96" s="4">
        <v>22472000</v>
      </c>
      <c r="M96" s="4">
        <v>21794000</v>
      </c>
      <c r="N96" s="4">
        <v>21468000</v>
      </c>
      <c r="O96" s="5">
        <v>21468000</v>
      </c>
      <c r="P96" s="4">
        <v>22083000</v>
      </c>
      <c r="Q96" s="4">
        <v>20736000</v>
      </c>
      <c r="R96" s="4">
        <v>20900000</v>
      </c>
      <c r="S96" s="4">
        <v>21468000</v>
      </c>
    </row>
    <row r="97" spans="1:19" ht="16" x14ac:dyDescent="0.2">
      <c r="A97" s="3" t="s">
        <v>106</v>
      </c>
      <c r="B97" s="4">
        <v>50370000</v>
      </c>
      <c r="C97" s="4">
        <v>75170000</v>
      </c>
      <c r="D97" s="4">
        <v>92338000</v>
      </c>
      <c r="E97" s="4">
        <v>79674000</v>
      </c>
      <c r="F97" s="4">
        <v>53671000</v>
      </c>
      <c r="G97" s="4">
        <v>76151000</v>
      </c>
      <c r="H97" s="4">
        <v>82155000</v>
      </c>
      <c r="I97" s="4">
        <v>1151000</v>
      </c>
      <c r="J97" s="4">
        <v>1138000</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v>1138000</v>
      </c>
      <c r="K98" s="4">
        <v>25572000</v>
      </c>
      <c r="L98" s="4">
        <v>22472000</v>
      </c>
      <c r="M98" s="4">
        <v>21794000</v>
      </c>
      <c r="N98" s="4">
        <v>21468000</v>
      </c>
      <c r="O98" s="5">
        <v>21468000</v>
      </c>
      <c r="P98" s="4">
        <v>22083000</v>
      </c>
      <c r="Q98" s="4">
        <v>20736000</v>
      </c>
      <c r="R98" s="4">
        <v>20900000</v>
      </c>
      <c r="S98" s="4">
        <v>21468000</v>
      </c>
    </row>
    <row r="99" spans="1:19" ht="16" x14ac:dyDescent="0.2">
      <c r="A99" s="3" t="s">
        <v>108</v>
      </c>
      <c r="B99" s="4">
        <v>11005000</v>
      </c>
      <c r="C99" s="4">
        <v>6175000</v>
      </c>
      <c r="D99" s="4">
        <v>4832000</v>
      </c>
      <c r="E99" s="4">
        <v>4170000</v>
      </c>
      <c r="F99" s="4">
        <v>3724000</v>
      </c>
      <c r="G99" s="4">
        <v>4628000</v>
      </c>
      <c r="H99" s="4">
        <v>5111000</v>
      </c>
      <c r="I99" s="4">
        <v>4488000</v>
      </c>
      <c r="J99" s="4">
        <v>6466000</v>
      </c>
      <c r="K99" s="4">
        <v>8233000</v>
      </c>
      <c r="L99" s="4">
        <v>20973000</v>
      </c>
      <c r="M99" s="4">
        <v>20061000</v>
      </c>
      <c r="N99" s="4">
        <v>26117000</v>
      </c>
      <c r="O99" s="5">
        <v>26117000</v>
      </c>
      <c r="P99" s="4">
        <v>19319000</v>
      </c>
      <c r="Q99" s="4">
        <v>23796000</v>
      </c>
      <c r="R99" s="4">
        <v>25664000</v>
      </c>
      <c r="S99" s="4">
        <v>26117000</v>
      </c>
    </row>
    <row r="100" spans="1:19" ht="16" x14ac:dyDescent="0.2">
      <c r="A100" s="3" t="s">
        <v>109</v>
      </c>
      <c r="B100" s="4">
        <v>5636000</v>
      </c>
      <c r="C100" s="4">
        <v>5390000</v>
      </c>
      <c r="D100" s="4">
        <v>4832000</v>
      </c>
      <c r="E100" s="4">
        <v>4170000</v>
      </c>
      <c r="F100" s="4">
        <v>3724000</v>
      </c>
      <c r="G100" s="4">
        <v>4628000</v>
      </c>
      <c r="H100" s="4">
        <v>5019000</v>
      </c>
      <c r="I100" s="4">
        <v>4488000</v>
      </c>
      <c r="J100" s="4">
        <v>6466000</v>
      </c>
      <c r="K100" s="4">
        <v>8233000</v>
      </c>
      <c r="L100" s="4">
        <v>20973000</v>
      </c>
      <c r="M100" s="4">
        <v>20061000</v>
      </c>
      <c r="N100" s="4">
        <v>26117000</v>
      </c>
      <c r="O100" s="5">
        <v>26117000</v>
      </c>
      <c r="P100" s="4">
        <v>19319000</v>
      </c>
      <c r="Q100" s="4">
        <v>23796000</v>
      </c>
      <c r="R100" s="4">
        <v>25664000</v>
      </c>
      <c r="S100" s="4">
        <v>26117000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v>440000</v>
      </c>
      <c r="C102" s="4" t="s">
        <v>24</v>
      </c>
      <c r="D102" s="4" t="s">
        <v>24</v>
      </c>
      <c r="E102" s="4" t="s">
        <v>24</v>
      </c>
      <c r="F102" s="4" t="s">
        <v>24</v>
      </c>
      <c r="G102" s="4" t="s">
        <v>24</v>
      </c>
      <c r="H102" s="4">
        <v>92000</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4929000</v>
      </c>
      <c r="C103" s="4">
        <v>785000</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166626000</v>
      </c>
      <c r="C104" s="4">
        <v>187385000</v>
      </c>
      <c r="D104" s="4">
        <v>238559000</v>
      </c>
      <c r="E104" s="4">
        <v>244284000</v>
      </c>
      <c r="F104" s="4">
        <v>213126000</v>
      </c>
      <c r="G104" s="4">
        <v>278783000</v>
      </c>
      <c r="H104" s="4">
        <v>302153000</v>
      </c>
      <c r="I104" s="4">
        <v>277256000</v>
      </c>
      <c r="J104" s="4">
        <v>282004000</v>
      </c>
      <c r="K104" s="4">
        <v>356044000</v>
      </c>
      <c r="L104" s="4">
        <v>421031000</v>
      </c>
      <c r="M104" s="4">
        <v>440889000</v>
      </c>
      <c r="N104" s="4">
        <v>492769000</v>
      </c>
      <c r="O104" s="5">
        <v>492769000</v>
      </c>
      <c r="P104" s="4">
        <v>504477000</v>
      </c>
      <c r="Q104" s="4">
        <v>487623000</v>
      </c>
      <c r="R104" s="4">
        <v>506564000</v>
      </c>
      <c r="S104" s="4">
        <v>492769000</v>
      </c>
    </row>
    <row r="105" spans="1:19" ht="16" x14ac:dyDescent="0.2">
      <c r="A105" s="3" t="s">
        <v>114</v>
      </c>
      <c r="B105" s="4">
        <v>325386000</v>
      </c>
      <c r="C105" s="4">
        <v>368950000</v>
      </c>
      <c r="D105" s="4">
        <v>296410000</v>
      </c>
      <c r="E105" s="4">
        <v>223227000</v>
      </c>
      <c r="F105" s="4">
        <v>592135000</v>
      </c>
      <c r="G105" s="4">
        <v>564341000</v>
      </c>
      <c r="H105" s="4">
        <v>550883000</v>
      </c>
      <c r="I105" s="4">
        <v>398747000</v>
      </c>
      <c r="J105" s="4">
        <v>400091000</v>
      </c>
      <c r="K105" s="4">
        <v>492620000</v>
      </c>
      <c r="L105" s="4">
        <v>495597000</v>
      </c>
      <c r="M105" s="4">
        <v>97679000</v>
      </c>
      <c r="N105" s="4">
        <v>98985000</v>
      </c>
      <c r="O105" s="5">
        <v>98985000</v>
      </c>
      <c r="P105" s="4">
        <v>93639000</v>
      </c>
      <c r="Q105" s="4">
        <v>89340000</v>
      </c>
      <c r="R105" s="4">
        <v>108384000</v>
      </c>
      <c r="S105" s="4">
        <v>98985000</v>
      </c>
    </row>
    <row r="106" spans="1:19" ht="16" x14ac:dyDescent="0.2">
      <c r="A106" s="3" t="s">
        <v>115</v>
      </c>
      <c r="B106" s="4">
        <v>325386000</v>
      </c>
      <c r="C106" s="4">
        <v>368950000</v>
      </c>
      <c r="D106" s="4">
        <v>296410000</v>
      </c>
      <c r="E106" s="4">
        <v>223227000</v>
      </c>
      <c r="F106" s="4">
        <v>592135000</v>
      </c>
      <c r="G106" s="4">
        <v>564341000</v>
      </c>
      <c r="H106" s="4">
        <v>550883000</v>
      </c>
      <c r="I106" s="4">
        <v>398747000</v>
      </c>
      <c r="J106" s="4">
        <v>400091000</v>
      </c>
      <c r="K106" s="4">
        <v>397036000</v>
      </c>
      <c r="L106" s="4">
        <v>397636000</v>
      </c>
      <c r="M106" s="4">
        <v>1996000</v>
      </c>
      <c r="N106" s="4">
        <v>10903000</v>
      </c>
      <c r="O106" s="5">
        <v>10903000</v>
      </c>
      <c r="P106" s="4">
        <v>1969000</v>
      </c>
      <c r="Q106" s="4">
        <v>1946000</v>
      </c>
      <c r="R106" s="4">
        <v>22368000</v>
      </c>
      <c r="S106" s="4">
        <v>10903000</v>
      </c>
    </row>
    <row r="107" spans="1:19" ht="16" x14ac:dyDescent="0.2">
      <c r="A107" s="3" t="s">
        <v>116</v>
      </c>
      <c r="B107" s="4" t="s">
        <v>24</v>
      </c>
      <c r="C107" s="4" t="s">
        <v>24</v>
      </c>
      <c r="D107" s="4" t="s">
        <v>24</v>
      </c>
      <c r="E107" s="4" t="s">
        <v>24</v>
      </c>
      <c r="F107" s="4" t="s">
        <v>24</v>
      </c>
      <c r="G107" s="4" t="s">
        <v>24</v>
      </c>
      <c r="H107" s="4" t="s">
        <v>24</v>
      </c>
      <c r="I107" s="4" t="s">
        <v>24</v>
      </c>
      <c r="J107" s="4" t="s">
        <v>24</v>
      </c>
      <c r="K107" s="4">
        <v>95584000</v>
      </c>
      <c r="L107" s="4">
        <v>97961000</v>
      </c>
      <c r="M107" s="4">
        <v>95683000</v>
      </c>
      <c r="N107" s="4">
        <v>88082000</v>
      </c>
      <c r="O107" s="5">
        <v>88082000</v>
      </c>
      <c r="P107" s="4">
        <v>91670000</v>
      </c>
      <c r="Q107" s="4">
        <v>87394000</v>
      </c>
      <c r="R107" s="4">
        <v>86016000</v>
      </c>
      <c r="S107" s="4">
        <v>88082000</v>
      </c>
    </row>
    <row r="108" spans="1:19" ht="16" x14ac:dyDescent="0.2">
      <c r="A108" s="3" t="s">
        <v>117</v>
      </c>
      <c r="B108" s="4">
        <v>37252000</v>
      </c>
      <c r="C108" s="4">
        <v>37614000</v>
      </c>
      <c r="D108" s="4">
        <v>37111000</v>
      </c>
      <c r="E108" s="4">
        <v>35794000</v>
      </c>
      <c r="F108" s="4">
        <v>30227000</v>
      </c>
      <c r="G108" s="4">
        <v>32240000</v>
      </c>
      <c r="H108" s="4">
        <v>30865000</v>
      </c>
      <c r="I108" s="4">
        <v>50596000</v>
      </c>
      <c r="J108" s="4">
        <v>87141000</v>
      </c>
      <c r="K108" s="4">
        <v>117081000</v>
      </c>
      <c r="L108" s="4">
        <v>116314000</v>
      </c>
      <c r="M108" s="4">
        <v>144697000</v>
      </c>
      <c r="N108" s="4">
        <v>158685000</v>
      </c>
      <c r="O108" s="5">
        <v>158685000</v>
      </c>
      <c r="P108" s="4">
        <v>142727000</v>
      </c>
      <c r="Q108" s="4">
        <v>141793000</v>
      </c>
      <c r="R108" s="4">
        <v>142435000</v>
      </c>
      <c r="S108" s="4">
        <v>158685000</v>
      </c>
    </row>
    <row r="109" spans="1:19" ht="16" x14ac:dyDescent="0.2">
      <c r="A109" s="3" t="s">
        <v>118</v>
      </c>
      <c r="B109" s="4">
        <v>10057000</v>
      </c>
      <c r="C109" s="4">
        <v>7186000</v>
      </c>
      <c r="D109" s="4">
        <v>8071000</v>
      </c>
      <c r="E109" s="4">
        <v>7372000</v>
      </c>
      <c r="F109" s="4">
        <v>5322000</v>
      </c>
      <c r="G109" s="4">
        <v>3816000</v>
      </c>
      <c r="H109" s="4">
        <v>3192000</v>
      </c>
      <c r="I109" s="4">
        <v>19733000</v>
      </c>
      <c r="J109" s="4">
        <v>48683000</v>
      </c>
      <c r="K109" s="4">
        <v>71686000</v>
      </c>
      <c r="L109" s="4">
        <v>63969000</v>
      </c>
      <c r="M109" s="4">
        <v>80060000</v>
      </c>
      <c r="N109" s="4">
        <v>89492000</v>
      </c>
      <c r="O109" s="5">
        <v>89492000</v>
      </c>
      <c r="P109" s="4">
        <v>77452000</v>
      </c>
      <c r="Q109" s="4">
        <v>76471000</v>
      </c>
      <c r="R109" s="4">
        <v>76690000</v>
      </c>
      <c r="S109" s="4">
        <v>89492000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27195000</v>
      </c>
      <c r="C114" s="4">
        <v>30428000</v>
      </c>
      <c r="D114" s="4">
        <v>29040000</v>
      </c>
      <c r="E114" s="4">
        <v>28422000</v>
      </c>
      <c r="F114" s="4">
        <v>24905000</v>
      </c>
      <c r="G114" s="4">
        <v>28424000</v>
      </c>
      <c r="H114" s="4">
        <v>27673000</v>
      </c>
      <c r="I114" s="4">
        <v>30863000</v>
      </c>
      <c r="J114" s="4">
        <v>38458000</v>
      </c>
      <c r="K114" s="4">
        <v>45395000</v>
      </c>
      <c r="L114" s="4">
        <v>52345000</v>
      </c>
      <c r="M114" s="4">
        <v>64637000</v>
      </c>
      <c r="N114" s="4">
        <v>69193000</v>
      </c>
      <c r="O114" s="5">
        <v>69193000</v>
      </c>
      <c r="P114" s="4">
        <v>65275000</v>
      </c>
      <c r="Q114" s="4">
        <v>65322000</v>
      </c>
      <c r="R114" s="4">
        <v>65745000</v>
      </c>
      <c r="S114" s="4">
        <v>69193000</v>
      </c>
    </row>
    <row r="115" spans="1:19" ht="16" x14ac:dyDescent="0.2">
      <c r="A115" s="3" t="s">
        <v>121</v>
      </c>
      <c r="B115" s="4">
        <v>362638000</v>
      </c>
      <c r="C115" s="4">
        <v>406564000</v>
      </c>
      <c r="D115" s="4">
        <v>333521000</v>
      </c>
      <c r="E115" s="4">
        <v>259021000</v>
      </c>
      <c r="F115" s="4">
        <v>622362000</v>
      </c>
      <c r="G115" s="4">
        <v>596581000</v>
      </c>
      <c r="H115" s="4">
        <v>581748000</v>
      </c>
      <c r="I115" s="4">
        <v>449343000</v>
      </c>
      <c r="J115" s="4">
        <v>487232000</v>
      </c>
      <c r="K115" s="4">
        <v>609701000</v>
      </c>
      <c r="L115" s="4">
        <v>611911000</v>
      </c>
      <c r="M115" s="4">
        <v>242376000</v>
      </c>
      <c r="N115" s="4">
        <v>257670000</v>
      </c>
      <c r="O115" s="5">
        <v>257670000</v>
      </c>
      <c r="P115" s="4">
        <v>236366000</v>
      </c>
      <c r="Q115" s="4">
        <v>231133000</v>
      </c>
      <c r="R115" s="4">
        <v>250819000</v>
      </c>
      <c r="S115" s="4">
        <v>257670000</v>
      </c>
    </row>
    <row r="116" spans="1:19" ht="16" x14ac:dyDescent="0.2">
      <c r="A116" s="3" t="s">
        <v>122</v>
      </c>
      <c r="B116" s="4">
        <v>529264000</v>
      </c>
      <c r="C116" s="4">
        <v>593949000</v>
      </c>
      <c r="D116" s="4">
        <v>572080000</v>
      </c>
      <c r="E116" s="4">
        <v>503305000</v>
      </c>
      <c r="F116" s="4">
        <v>835488000</v>
      </c>
      <c r="G116" s="4">
        <v>875364000</v>
      </c>
      <c r="H116" s="4">
        <v>883901000</v>
      </c>
      <c r="I116" s="4">
        <v>726599000</v>
      </c>
      <c r="J116" s="4">
        <v>769236000</v>
      </c>
      <c r="K116" s="4">
        <v>965745000</v>
      </c>
      <c r="L116" s="4">
        <v>1032942000</v>
      </c>
      <c r="M116" s="4">
        <v>683265000</v>
      </c>
      <c r="N116" s="4">
        <v>750439000</v>
      </c>
      <c r="O116" s="5">
        <v>750439000</v>
      </c>
      <c r="P116" s="4">
        <v>740843000</v>
      </c>
      <c r="Q116" s="4">
        <v>718756000</v>
      </c>
      <c r="R116" s="4">
        <v>757383000</v>
      </c>
      <c r="S116" s="4">
        <v>750439000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313940000</v>
      </c>
      <c r="C118" s="4">
        <v>326199000</v>
      </c>
      <c r="D118" s="4">
        <v>368782000</v>
      </c>
      <c r="E118" s="4">
        <v>404555000</v>
      </c>
      <c r="F118" s="4">
        <v>407820000</v>
      </c>
      <c r="G118" s="4">
        <v>392456000</v>
      </c>
      <c r="H118" s="4">
        <v>453372000</v>
      </c>
      <c r="I118" s="4">
        <v>526881000</v>
      </c>
      <c r="J118" s="4">
        <v>572582000</v>
      </c>
      <c r="K118" s="4">
        <v>672751000</v>
      </c>
      <c r="L118" s="4">
        <v>761858000</v>
      </c>
      <c r="M118" s="4">
        <v>838556000</v>
      </c>
      <c r="N118" s="4">
        <v>939006000</v>
      </c>
      <c r="O118" s="5">
        <v>939006000</v>
      </c>
      <c r="P118" s="4">
        <v>849809000</v>
      </c>
      <c r="Q118" s="4">
        <v>875057000</v>
      </c>
      <c r="R118" s="4">
        <v>901543000</v>
      </c>
      <c r="S118" s="4">
        <v>939006000</v>
      </c>
    </row>
    <row r="119" spans="1:19" ht="16" x14ac:dyDescent="0.2">
      <c r="A119" s="3" t="s">
        <v>125</v>
      </c>
      <c r="B119" s="4" t="s">
        <v>24</v>
      </c>
      <c r="C119" s="4">
        <v>12000</v>
      </c>
      <c r="D119" s="4">
        <v>13000</v>
      </c>
      <c r="E119" s="4">
        <v>13000</v>
      </c>
      <c r="F119" s="4">
        <v>12000</v>
      </c>
      <c r="G119" s="4">
        <v>11000</v>
      </c>
      <c r="H119" s="4">
        <v>23000</v>
      </c>
      <c r="I119" s="4">
        <v>23000</v>
      </c>
      <c r="J119" s="4">
        <v>23000</v>
      </c>
      <c r="K119" s="4">
        <v>24000</v>
      </c>
      <c r="L119" s="4">
        <v>24000</v>
      </c>
      <c r="M119" s="4">
        <v>24000</v>
      </c>
      <c r="N119" s="4">
        <v>96000</v>
      </c>
      <c r="O119" s="5">
        <v>96000</v>
      </c>
      <c r="P119" s="4">
        <v>48000</v>
      </c>
      <c r="Q119" s="4">
        <v>48000</v>
      </c>
      <c r="R119" s="4">
        <v>48000</v>
      </c>
      <c r="S119" s="4">
        <v>96000</v>
      </c>
    </row>
    <row r="120" spans="1:19" ht="16" x14ac:dyDescent="0.2">
      <c r="A120" s="3" t="s">
        <v>126</v>
      </c>
      <c r="B120" s="4">
        <v>313940000</v>
      </c>
      <c r="C120" s="4">
        <v>326187000</v>
      </c>
      <c r="D120" s="4">
        <v>368769000</v>
      </c>
      <c r="E120" s="4">
        <v>404542000</v>
      </c>
      <c r="F120" s="4">
        <v>407808000</v>
      </c>
      <c r="G120" s="4">
        <v>392445000</v>
      </c>
      <c r="H120" s="4">
        <v>453349000</v>
      </c>
      <c r="I120" s="4">
        <v>526858000</v>
      </c>
      <c r="J120" s="4">
        <v>572559000</v>
      </c>
      <c r="K120" s="4">
        <v>672727000</v>
      </c>
      <c r="L120" s="4">
        <v>761834000</v>
      </c>
      <c r="M120" s="4">
        <v>838532000</v>
      </c>
      <c r="N120" s="4">
        <v>938910000</v>
      </c>
      <c r="O120" s="5">
        <v>938910000</v>
      </c>
      <c r="P120" s="4">
        <v>849761000</v>
      </c>
      <c r="Q120" s="4">
        <v>875009000</v>
      </c>
      <c r="R120" s="4">
        <v>901495000</v>
      </c>
      <c r="S120" s="4">
        <v>938910000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264457000</v>
      </c>
      <c r="C122" s="4">
        <v>272961000</v>
      </c>
      <c r="D122" s="4">
        <v>440780000</v>
      </c>
      <c r="E122" s="4">
        <v>619004000</v>
      </c>
      <c r="F122" s="4">
        <v>625437000</v>
      </c>
      <c r="G122" s="4">
        <v>491194000</v>
      </c>
      <c r="H122" s="4">
        <v>745370000</v>
      </c>
      <c r="I122" s="4">
        <v>1162146000</v>
      </c>
      <c r="J122" s="4">
        <v>1338328000</v>
      </c>
      <c r="K122" s="4">
        <v>1937853000</v>
      </c>
      <c r="L122" s="4">
        <v>2868203000</v>
      </c>
      <c r="M122" s="4">
        <v>3956408000</v>
      </c>
      <c r="N122" s="4">
        <v>5189440000</v>
      </c>
      <c r="O122" s="5">
        <v>5189440000</v>
      </c>
      <c r="P122" s="4">
        <v>4201961000</v>
      </c>
      <c r="Q122" s="4">
        <v>4495102000</v>
      </c>
      <c r="R122" s="4">
        <v>4843338000</v>
      </c>
      <c r="S122" s="4">
        <v>5189440000</v>
      </c>
    </row>
    <row r="123" spans="1:19" ht="16" x14ac:dyDescent="0.2">
      <c r="A123" s="3" t="s">
        <v>129</v>
      </c>
      <c r="B123" s="4">
        <v>-23225000</v>
      </c>
      <c r="C123" s="4">
        <v>-38043000</v>
      </c>
      <c r="D123" s="4">
        <v>-47161000</v>
      </c>
      <c r="E123" s="4">
        <v>-20060000</v>
      </c>
      <c r="F123" s="4">
        <v>-68793000</v>
      </c>
      <c r="G123" s="4">
        <v>-109194000</v>
      </c>
      <c r="H123" s="4">
        <v>-100676000</v>
      </c>
      <c r="I123" s="4">
        <v>-107928000</v>
      </c>
      <c r="J123" s="4">
        <v>-132529000</v>
      </c>
      <c r="K123" s="4">
        <v>-121088000</v>
      </c>
      <c r="L123" s="4">
        <v>-100860000</v>
      </c>
      <c r="M123" s="4">
        <v>-169365000</v>
      </c>
      <c r="N123" s="4">
        <v>-141006000</v>
      </c>
      <c r="O123" s="5">
        <v>-141006000</v>
      </c>
      <c r="P123" s="4">
        <v>-198936000</v>
      </c>
      <c r="Q123" s="4">
        <v>-156507000</v>
      </c>
      <c r="R123" s="4">
        <v>-152459000</v>
      </c>
      <c r="S123" s="4">
        <v>-141006000</v>
      </c>
    </row>
    <row r="124" spans="1:19" ht="16" x14ac:dyDescent="0.2">
      <c r="A124" s="3" t="s">
        <v>130</v>
      </c>
      <c r="B124" s="4">
        <v>555172000</v>
      </c>
      <c r="C124" s="4">
        <v>561117000</v>
      </c>
      <c r="D124" s="4">
        <v>762401000</v>
      </c>
      <c r="E124" s="4">
        <v>1003499000</v>
      </c>
      <c r="F124" s="4">
        <v>964464000</v>
      </c>
      <c r="G124" s="4">
        <v>774456000</v>
      </c>
      <c r="H124" s="4">
        <v>1098066000</v>
      </c>
      <c r="I124" s="4">
        <v>1581099000</v>
      </c>
      <c r="J124" s="4">
        <v>1778381000</v>
      </c>
      <c r="K124" s="4">
        <v>2489516000</v>
      </c>
      <c r="L124" s="4">
        <v>3529201000</v>
      </c>
      <c r="M124" s="4">
        <v>4625599000</v>
      </c>
      <c r="N124" s="4">
        <v>5987440000</v>
      </c>
      <c r="O124" s="5">
        <v>5987440000</v>
      </c>
      <c r="P124" s="4">
        <v>4852834000</v>
      </c>
      <c r="Q124" s="4">
        <v>5213652000</v>
      </c>
      <c r="R124" s="4">
        <v>5592422000</v>
      </c>
      <c r="S124" s="4">
        <v>5987440000</v>
      </c>
    </row>
    <row r="125" spans="1:19" ht="16" x14ac:dyDescent="0.2">
      <c r="A125" s="3" t="s">
        <v>131</v>
      </c>
      <c r="B125" s="4" t="s">
        <v>24</v>
      </c>
      <c r="C125" s="4" t="s">
        <v>24</v>
      </c>
      <c r="D125" s="4" t="s">
        <v>24</v>
      </c>
      <c r="E125" s="4" t="s">
        <v>24</v>
      </c>
      <c r="F125" s="4" t="s">
        <v>24</v>
      </c>
      <c r="G125" s="4" t="s">
        <v>24</v>
      </c>
      <c r="H125" s="4">
        <v>534000</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555172000</v>
      </c>
      <c r="C126" s="4">
        <v>561117000</v>
      </c>
      <c r="D126" s="4">
        <v>762401000</v>
      </c>
      <c r="E126" s="4">
        <v>1003499000</v>
      </c>
      <c r="F126" s="4">
        <v>964464000</v>
      </c>
      <c r="G126" s="4">
        <v>774456000</v>
      </c>
      <c r="H126" s="4">
        <v>1098600000</v>
      </c>
      <c r="I126" s="4">
        <v>1581099000</v>
      </c>
      <c r="J126" s="4">
        <v>1778381000</v>
      </c>
      <c r="K126" s="4">
        <v>2489516000</v>
      </c>
      <c r="L126" s="4">
        <v>3529201000</v>
      </c>
      <c r="M126" s="4">
        <v>4625599000</v>
      </c>
      <c r="N126" s="4">
        <v>5987440000</v>
      </c>
      <c r="O126" s="5">
        <v>5987440000</v>
      </c>
      <c r="P126" s="4">
        <v>4852834000</v>
      </c>
      <c r="Q126" s="4">
        <v>5213652000</v>
      </c>
      <c r="R126" s="4">
        <v>5592422000</v>
      </c>
      <c r="S126" s="4">
        <v>5987440000</v>
      </c>
    </row>
    <row r="127" spans="1:19" ht="16" x14ac:dyDescent="0.2">
      <c r="A127" s="3" t="s">
        <v>133</v>
      </c>
      <c r="B127" s="4">
        <v>1084436000</v>
      </c>
      <c r="C127" s="4">
        <v>1155066000</v>
      </c>
      <c r="D127" s="4">
        <v>1334481000</v>
      </c>
      <c r="E127" s="4">
        <v>1506804000</v>
      </c>
      <c r="F127" s="4">
        <v>1799952000</v>
      </c>
      <c r="G127" s="4">
        <v>1649820000</v>
      </c>
      <c r="H127" s="4">
        <v>1982501000</v>
      </c>
      <c r="I127" s="4">
        <v>2307698000</v>
      </c>
      <c r="J127" s="4">
        <v>2547617000</v>
      </c>
      <c r="K127" s="4">
        <v>3455261000</v>
      </c>
      <c r="L127" s="4">
        <v>4562143000</v>
      </c>
      <c r="M127" s="4">
        <v>5308864000</v>
      </c>
      <c r="N127" s="4">
        <v>6737879000</v>
      </c>
      <c r="O127" s="5">
        <v>6737879000</v>
      </c>
      <c r="P127" s="4">
        <v>5593677000</v>
      </c>
      <c r="Q127" s="4">
        <v>5932408000</v>
      </c>
      <c r="R127" s="4">
        <v>6349805000</v>
      </c>
      <c r="S127" s="4">
        <v>6737879000</v>
      </c>
    </row>
    <row r="128" spans="1:19" ht="16" x14ac:dyDescent="0.2">
      <c r="A128" s="28" t="s">
        <v>134</v>
      </c>
      <c r="B128" s="26">
        <v>1056088272</v>
      </c>
      <c r="C128" s="26">
        <v>995149600</v>
      </c>
      <c r="D128" s="26">
        <v>1003959960</v>
      </c>
      <c r="E128" s="26">
        <v>1009146928</v>
      </c>
      <c r="F128" s="26">
        <v>961250720</v>
      </c>
      <c r="G128" s="26">
        <v>880976480</v>
      </c>
      <c r="H128" s="26">
        <v>921953184</v>
      </c>
      <c r="I128" s="26">
        <v>935595364</v>
      </c>
      <c r="J128" s="26">
        <v>919161072</v>
      </c>
      <c r="K128" s="26">
        <v>941261348</v>
      </c>
      <c r="L128" s="26">
        <v>948057092</v>
      </c>
      <c r="M128" s="26">
        <v>952163896</v>
      </c>
      <c r="N128" s="26">
        <v>960000000</v>
      </c>
      <c r="O128" s="27">
        <v>960000000</v>
      </c>
      <c r="P128" s="26">
        <v>952391628</v>
      </c>
      <c r="Q128" s="26">
        <v>953128296</v>
      </c>
      <c r="R128" s="26">
        <v>954260050</v>
      </c>
      <c r="S128" s="26">
        <v>960000000</v>
      </c>
    </row>
    <row r="129" spans="1:19" ht="16" x14ac:dyDescent="0.2">
      <c r="A129" s="13" t="s">
        <v>197</v>
      </c>
      <c r="B129" s="10"/>
      <c r="C129" s="19">
        <f>(C128/B128)-1</f>
        <v>-5.7702252373843188E-2</v>
      </c>
      <c r="D129" s="19">
        <f>(D128/C128)-1</f>
        <v>8.8533020562937548E-3</v>
      </c>
      <c r="E129" s="19">
        <f>(E128/D128)-1</f>
        <v>5.1665088316867891E-3</v>
      </c>
      <c r="F129" s="19">
        <f t="shared" ref="F129:N129" si="6">(F128/E128)-1</f>
        <v>-4.7462075809836857E-2</v>
      </c>
      <c r="G129" s="19">
        <f t="shared" si="6"/>
        <v>-8.3510200127600465E-2</v>
      </c>
      <c r="H129" s="19">
        <f t="shared" si="6"/>
        <v>4.6512824042703071E-2</v>
      </c>
      <c r="I129" s="19">
        <f t="shared" si="6"/>
        <v>1.4797042015530337E-2</v>
      </c>
      <c r="J129" s="19">
        <f t="shared" si="6"/>
        <v>-1.7565597941547773E-2</v>
      </c>
      <c r="K129" s="19">
        <f t="shared" si="6"/>
        <v>2.4043964298783971E-2</v>
      </c>
      <c r="L129" s="19">
        <f t="shared" si="6"/>
        <v>7.2198268997656356E-3</v>
      </c>
      <c r="M129" s="19">
        <f t="shared" si="6"/>
        <v>4.3318108525893795E-3</v>
      </c>
      <c r="N129" s="19">
        <f t="shared" si="6"/>
        <v>8.229784843679866E-3</v>
      </c>
      <c r="O129" s="19">
        <f>(O128/N128)-1</f>
        <v>0</v>
      </c>
      <c r="P129" s="19">
        <f>(P128/O128)-1</f>
        <v>-7.9253875000000473E-3</v>
      </c>
      <c r="Q129" s="19">
        <f>(Q128/P128)-1</f>
        <v>7.7349272961058091E-4</v>
      </c>
      <c r="R129" s="19">
        <f>(R128/Q128)-1</f>
        <v>1.1874099266064864E-3</v>
      </c>
      <c r="S129" s="19">
        <f>(S128/R128)-1</f>
        <v>6.0150794324880241E-3</v>
      </c>
    </row>
    <row r="130" spans="1:19" ht="16" x14ac:dyDescent="0.2">
      <c r="A130" s="3" t="s">
        <v>135</v>
      </c>
      <c r="B130" s="4" t="s">
        <v>24</v>
      </c>
      <c r="C130" s="4" t="s">
        <v>24</v>
      </c>
      <c r="D130" s="4" t="s">
        <v>24</v>
      </c>
      <c r="E130" s="4" t="s">
        <v>24</v>
      </c>
      <c r="F130" s="4" t="s">
        <v>24</v>
      </c>
      <c r="G130" s="4" t="s">
        <v>24</v>
      </c>
      <c r="H130" s="4" t="s">
        <v>24</v>
      </c>
      <c r="I130" s="4" t="s">
        <v>24</v>
      </c>
      <c r="J130" s="4">
        <v>1138000</v>
      </c>
      <c r="K130" s="4">
        <v>121156000</v>
      </c>
      <c r="L130" s="4">
        <v>120433000</v>
      </c>
      <c r="M130" s="4">
        <v>117477000</v>
      </c>
      <c r="N130" s="4">
        <v>109550000</v>
      </c>
      <c r="O130" s="5">
        <v>109550000</v>
      </c>
      <c r="P130" s="4">
        <v>113753000</v>
      </c>
      <c r="Q130" s="4">
        <v>108130000</v>
      </c>
      <c r="R130" s="4">
        <v>106916000</v>
      </c>
      <c r="S130" s="4">
        <v>109550000</v>
      </c>
    </row>
    <row r="131" spans="1:19" ht="16" x14ac:dyDescent="0.2">
      <c r="A131" s="3" t="s">
        <v>136</v>
      </c>
      <c r="B131" s="4">
        <v>301747000</v>
      </c>
      <c r="C131" s="4">
        <v>304008000</v>
      </c>
      <c r="D131" s="4">
        <v>325117000</v>
      </c>
      <c r="E131" s="4">
        <v>144233000</v>
      </c>
      <c r="F131" s="4">
        <v>189794000</v>
      </c>
      <c r="G131" s="4">
        <v>484643000</v>
      </c>
      <c r="H131" s="4">
        <v>422938000</v>
      </c>
      <c r="I131" s="4">
        <v>125378000</v>
      </c>
      <c r="J131" s="4">
        <v>214910000</v>
      </c>
      <c r="K131" s="4">
        <v>-80682000</v>
      </c>
      <c r="L131" s="4">
        <v>-650624000</v>
      </c>
      <c r="M131" s="4">
        <v>-1382240000</v>
      </c>
      <c r="N131" s="4">
        <v>-946492000</v>
      </c>
      <c r="O131" s="5">
        <v>-946492000</v>
      </c>
      <c r="P131" s="4">
        <v>-1537422000</v>
      </c>
      <c r="Q131" s="4">
        <v>-1659006000</v>
      </c>
      <c r="R131" s="4">
        <v>-2091815000</v>
      </c>
      <c r="S131" s="4">
        <v>-946492000</v>
      </c>
    </row>
    <row r="132" spans="1:19" ht="16" x14ac:dyDescent="0.2">
      <c r="A132" s="3" t="s">
        <v>137</v>
      </c>
      <c r="B132" s="6">
        <v>54.35</v>
      </c>
      <c r="C132" s="6">
        <v>54.18</v>
      </c>
      <c r="D132" s="6">
        <v>42.64</v>
      </c>
      <c r="E132" s="6">
        <v>14.37</v>
      </c>
      <c r="F132" s="6">
        <v>19.68</v>
      </c>
      <c r="G132" s="6">
        <v>62.58</v>
      </c>
      <c r="H132" s="6">
        <v>38.5</v>
      </c>
      <c r="I132" s="6">
        <v>7.93</v>
      </c>
      <c r="J132" s="6">
        <v>12.08</v>
      </c>
      <c r="K132" s="6">
        <v>-3.24</v>
      </c>
      <c r="L132" s="6">
        <v>-18.440000000000001</v>
      </c>
      <c r="M132" s="6">
        <v>-29.88</v>
      </c>
      <c r="N132" s="6">
        <v>-15.81</v>
      </c>
      <c r="O132" s="7">
        <v>-15.81</v>
      </c>
      <c r="P132" s="6">
        <v>-31.68</v>
      </c>
      <c r="Q132" s="6">
        <v>-31.82</v>
      </c>
      <c r="R132" s="6">
        <v>-37.4</v>
      </c>
      <c r="S132" s="6">
        <v>-15.81</v>
      </c>
    </row>
    <row r="133" spans="1:19" ht="16" x14ac:dyDescent="0.2">
      <c r="A133" s="3" t="s">
        <v>138</v>
      </c>
      <c r="B133" s="6">
        <v>39.380000000000003</v>
      </c>
      <c r="C133" s="6">
        <v>37.520000000000003</v>
      </c>
      <c r="D133" s="6">
        <v>45.48</v>
      </c>
      <c r="E133" s="6">
        <v>57.98</v>
      </c>
      <c r="F133" s="6">
        <v>44.68</v>
      </c>
      <c r="G133" s="6">
        <v>36.47</v>
      </c>
      <c r="H133" s="6">
        <v>43.57</v>
      </c>
      <c r="I133" s="6">
        <v>61.87</v>
      </c>
      <c r="J133" s="6">
        <v>64.37</v>
      </c>
      <c r="K133" s="6">
        <v>68.48</v>
      </c>
      <c r="L133" s="6">
        <v>75.17</v>
      </c>
      <c r="M133" s="6">
        <v>85.92</v>
      </c>
      <c r="N133" s="6">
        <v>88.05</v>
      </c>
      <c r="O133" s="7">
        <v>88.05</v>
      </c>
      <c r="P133" s="6">
        <v>85.61</v>
      </c>
      <c r="Q133" s="6">
        <v>86.88</v>
      </c>
      <c r="R133" s="6">
        <v>87.15</v>
      </c>
      <c r="S133" s="6">
        <v>88.05</v>
      </c>
    </row>
    <row r="134" spans="1:19" ht="16" x14ac:dyDescent="0.2">
      <c r="A134" s="3" t="s">
        <v>139</v>
      </c>
      <c r="B134" s="6">
        <v>1.45</v>
      </c>
      <c r="C134" s="6">
        <v>1.72</v>
      </c>
      <c r="D134" s="6">
        <v>1.28</v>
      </c>
      <c r="E134" s="6">
        <v>1.69</v>
      </c>
      <c r="F134" s="6">
        <v>3.45</v>
      </c>
      <c r="G134" s="6">
        <v>1.79</v>
      </c>
      <c r="H134" s="6">
        <v>1.94</v>
      </c>
      <c r="I134" s="6">
        <v>2.56</v>
      </c>
      <c r="J134" s="6">
        <v>2.44</v>
      </c>
      <c r="K134" s="6">
        <v>2.71</v>
      </c>
      <c r="L134" s="6">
        <v>4.04</v>
      </c>
      <c r="M134" s="4">
        <v>5</v>
      </c>
      <c r="N134" s="6">
        <v>6.62</v>
      </c>
      <c r="O134" s="7">
        <v>6.62</v>
      </c>
      <c r="P134" s="6">
        <v>4.6900000000000004</v>
      </c>
      <c r="Q134" s="6">
        <v>5.41</v>
      </c>
      <c r="R134" s="6">
        <v>5.92</v>
      </c>
      <c r="S134" s="6">
        <v>6.62</v>
      </c>
    </row>
    <row r="135" spans="1:19" ht="16" x14ac:dyDescent="0.2">
      <c r="A135" s="3" t="s">
        <v>140</v>
      </c>
      <c r="B135" s="6">
        <v>4.33</v>
      </c>
      <c r="C135" s="6">
        <v>-3.53</v>
      </c>
      <c r="D135" s="6">
        <v>3.13</v>
      </c>
      <c r="E135" s="6">
        <v>-8.89</v>
      </c>
      <c r="F135" s="6">
        <v>-12.25</v>
      </c>
      <c r="G135" s="6">
        <v>-11.33</v>
      </c>
      <c r="H135" s="6">
        <v>-12.21</v>
      </c>
      <c r="I135" s="6">
        <v>-11.57</v>
      </c>
      <c r="J135" s="6">
        <v>-15.89</v>
      </c>
      <c r="K135" s="6">
        <v>-24.26</v>
      </c>
      <c r="L135" s="6">
        <v>-26.3</v>
      </c>
      <c r="M135" s="6">
        <v>-8.31</v>
      </c>
      <c r="N135" s="6">
        <v>-3.66</v>
      </c>
      <c r="O135" s="7">
        <v>-3.66</v>
      </c>
      <c r="P135" s="6">
        <v>-8.33</v>
      </c>
      <c r="Q135" s="6">
        <v>7.12</v>
      </c>
      <c r="R135" s="6">
        <v>-2.5299999999999998</v>
      </c>
      <c r="S135" s="6">
        <v>-3.66</v>
      </c>
    </row>
    <row r="136" spans="1:19" ht="16" x14ac:dyDescent="0.2">
      <c r="A136" s="3" t="s">
        <v>141</v>
      </c>
      <c r="B136" s="4">
        <v>2825</v>
      </c>
      <c r="C136" s="4">
        <v>2981</v>
      </c>
      <c r="D136" s="4">
        <v>3875</v>
      </c>
      <c r="E136" s="4">
        <v>4179</v>
      </c>
      <c r="F136" s="4">
        <v>4267</v>
      </c>
      <c r="G136" s="4">
        <v>4844</v>
      </c>
      <c r="H136" s="4">
        <v>5323</v>
      </c>
      <c r="I136" s="4">
        <v>6026</v>
      </c>
      <c r="J136" s="4">
        <v>7327</v>
      </c>
      <c r="K136" s="4">
        <v>7600</v>
      </c>
      <c r="L136" s="4">
        <v>8600</v>
      </c>
      <c r="M136" s="4">
        <v>9500</v>
      </c>
      <c r="N136" s="4" t="s">
        <v>24</v>
      </c>
      <c r="O136" s="5" t="s">
        <v>24</v>
      </c>
      <c r="P136" s="4">
        <v>9500</v>
      </c>
      <c r="Q136" s="4">
        <v>9500</v>
      </c>
      <c r="R136" s="4">
        <v>9500</v>
      </c>
      <c r="S136" s="4" t="s">
        <v>24</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166375000</v>
      </c>
      <c r="C139" s="4">
        <v>182119000</v>
      </c>
      <c r="D139" s="4">
        <v>180025000</v>
      </c>
      <c r="E139" s="4">
        <v>178687000</v>
      </c>
      <c r="F139" s="4">
        <v>219783000</v>
      </c>
      <c r="G139" s="4">
        <v>270360000</v>
      </c>
      <c r="H139" s="4">
        <v>394261000</v>
      </c>
      <c r="I139" s="4">
        <v>418007000</v>
      </c>
      <c r="J139" s="4">
        <v>591693000</v>
      </c>
      <c r="K139" s="4">
        <v>699907000</v>
      </c>
      <c r="L139" s="4">
        <v>936495000</v>
      </c>
      <c r="M139" s="4">
        <v>1090130000</v>
      </c>
      <c r="N139" s="4">
        <v>1237741000</v>
      </c>
      <c r="O139" s="5">
        <v>1237741000</v>
      </c>
      <c r="P139" s="4">
        <v>245848000</v>
      </c>
      <c r="Q139" s="4">
        <v>293677000</v>
      </c>
      <c r="R139" s="4">
        <v>350431000</v>
      </c>
      <c r="S139" s="4">
        <v>347785000</v>
      </c>
    </row>
    <row r="140" spans="1:19" ht="16" x14ac:dyDescent="0.2">
      <c r="A140" s="3" t="s">
        <v>143</v>
      </c>
      <c r="B140" s="4">
        <v>45694000</v>
      </c>
      <c r="C140" s="4">
        <v>48167000</v>
      </c>
      <c r="D140" s="4">
        <v>56728000</v>
      </c>
      <c r="E140" s="4">
        <v>53726000</v>
      </c>
      <c r="F140" s="4">
        <v>48893000</v>
      </c>
      <c r="G140" s="4">
        <v>49643000</v>
      </c>
      <c r="H140" s="4">
        <v>57441000</v>
      </c>
      <c r="I140" s="4">
        <v>79040000</v>
      </c>
      <c r="J140" s="4">
        <v>85334000</v>
      </c>
      <c r="K140" s="4">
        <v>104257000</v>
      </c>
      <c r="L140" s="4">
        <v>123084000</v>
      </c>
      <c r="M140" s="4">
        <v>138605000</v>
      </c>
      <c r="N140" s="4">
        <v>159684000</v>
      </c>
      <c r="O140" s="5">
        <v>159684000</v>
      </c>
      <c r="P140" s="4">
        <v>39327000</v>
      </c>
      <c r="Q140" s="4">
        <v>38767000</v>
      </c>
      <c r="R140" s="4">
        <v>37226000</v>
      </c>
      <c r="S140" s="4">
        <v>44364000</v>
      </c>
    </row>
    <row r="141" spans="1:19" ht="16" x14ac:dyDescent="0.2">
      <c r="A141" s="3" t="s">
        <v>144</v>
      </c>
      <c r="B141" s="4">
        <v>15085000</v>
      </c>
      <c r="C141" s="4">
        <v>8281000</v>
      </c>
      <c r="D141" s="4">
        <v>8537000</v>
      </c>
      <c r="E141" s="4">
        <v>37702000</v>
      </c>
      <c r="F141" s="4">
        <v>18052000</v>
      </c>
      <c r="G141" s="4">
        <v>28620000</v>
      </c>
      <c r="H141" s="4">
        <v>61148000</v>
      </c>
      <c r="I141" s="4">
        <v>46227000</v>
      </c>
      <c r="J141" s="4">
        <v>43529000</v>
      </c>
      <c r="K141" s="4">
        <v>47562000</v>
      </c>
      <c r="L141" s="4">
        <v>27130000</v>
      </c>
      <c r="M141" s="4">
        <v>73435000</v>
      </c>
      <c r="N141" s="4">
        <v>55066000</v>
      </c>
      <c r="O141" s="5">
        <v>55066000</v>
      </c>
      <c r="P141" s="4">
        <v>11817000</v>
      </c>
      <c r="Q141" s="4">
        <v>10612000</v>
      </c>
      <c r="R141" s="4">
        <v>10700000</v>
      </c>
      <c r="S141" s="4">
        <v>21937000</v>
      </c>
    </row>
    <row r="142" spans="1:19" ht="16" x14ac:dyDescent="0.2">
      <c r="A142" s="28" t="s">
        <v>145</v>
      </c>
      <c r="B142" s="26">
        <v>19007000</v>
      </c>
      <c r="C142" s="26">
        <v>21791000</v>
      </c>
      <c r="D142" s="26">
        <v>19557000</v>
      </c>
      <c r="E142" s="26">
        <v>22099000</v>
      </c>
      <c r="F142" s="26">
        <v>18154000</v>
      </c>
      <c r="G142" s="26">
        <v>20864000</v>
      </c>
      <c r="H142" s="26">
        <v>20840000</v>
      </c>
      <c r="I142" s="26">
        <v>23221000</v>
      </c>
      <c r="J142" s="26">
        <v>23445000</v>
      </c>
      <c r="K142" s="26">
        <v>23322000</v>
      </c>
      <c r="L142" s="26">
        <v>40922000</v>
      </c>
      <c r="M142" s="26">
        <v>38965000</v>
      </c>
      <c r="N142" s="26">
        <v>39673000</v>
      </c>
      <c r="O142" s="27">
        <v>39673000</v>
      </c>
      <c r="P142" s="26">
        <v>10192000</v>
      </c>
      <c r="Q142" s="26">
        <v>10131000</v>
      </c>
      <c r="R142" s="26">
        <v>10081000</v>
      </c>
      <c r="S142" s="26">
        <v>9269000</v>
      </c>
    </row>
    <row r="143" spans="1:19" ht="16" x14ac:dyDescent="0.2">
      <c r="A143" s="12" t="s">
        <v>198</v>
      </c>
      <c r="B143" s="19">
        <f t="shared" ref="B143:S143" si="7">B142/B2</f>
        <v>2.1790870924028313E-2</v>
      </c>
      <c r="C143" s="19">
        <f t="shared" si="7"/>
        <v>2.3578459431005065E-2</v>
      </c>
      <c r="D143" s="19">
        <f t="shared" si="7"/>
        <v>1.8690043635904915E-2</v>
      </c>
      <c r="E143" s="19">
        <f t="shared" si="7"/>
        <v>1.8993733503281939E-2</v>
      </c>
      <c r="F143" s="19">
        <f t="shared" si="7"/>
        <v>1.584009479276734E-2</v>
      </c>
      <c r="G143" s="19">
        <f t="shared" si="7"/>
        <v>1.6448434268937891E-2</v>
      </c>
      <c r="H143" s="19">
        <f t="shared" si="7"/>
        <v>1.4392454044631801E-2</v>
      </c>
      <c r="I143" s="19">
        <f t="shared" si="7"/>
        <v>1.2859868360935818E-2</v>
      </c>
      <c r="J143" s="19">
        <f t="shared" si="7"/>
        <v>1.1481632571107032E-2</v>
      </c>
      <c r="K143" s="19">
        <f t="shared" si="7"/>
        <v>1.0574074972467597E-2</v>
      </c>
      <c r="L143" s="19">
        <f t="shared" si="7"/>
        <v>1.5198452299730623E-2</v>
      </c>
      <c r="M143" s="19">
        <f t="shared" si="7"/>
        <v>1.1129928381702986E-2</v>
      </c>
      <c r="N143" s="19">
        <f t="shared" si="7"/>
        <v>1.025269813966494E-2</v>
      </c>
      <c r="O143" s="19">
        <f t="shared" si="7"/>
        <v>1.025269813966494E-2</v>
      </c>
      <c r="P143" s="19">
        <f t="shared" si="7"/>
        <v>1.1408461424804001E-2</v>
      </c>
      <c r="Q143" s="19">
        <f t="shared" si="7"/>
        <v>1.0589260852659701E-2</v>
      </c>
      <c r="R143" s="19">
        <f t="shared" si="7"/>
        <v>9.8656235718039484E-3</v>
      </c>
      <c r="S143" s="19">
        <f t="shared" si="7"/>
        <v>9.2913829415060874E-3</v>
      </c>
    </row>
    <row r="144" spans="1:19" ht="16" x14ac:dyDescent="0.2">
      <c r="A144" s="3" t="s">
        <v>146</v>
      </c>
      <c r="B144" s="4">
        <v>-2099000</v>
      </c>
      <c r="C144" s="4">
        <v>-17579000</v>
      </c>
      <c r="D144" s="4">
        <v>-3605000</v>
      </c>
      <c r="E144" s="4">
        <v>-10838000</v>
      </c>
      <c r="F144" s="4">
        <v>4365000</v>
      </c>
      <c r="G144" s="4">
        <v>5740000</v>
      </c>
      <c r="H144" s="4">
        <v>19901000</v>
      </c>
      <c r="I144" s="4">
        <v>16717000</v>
      </c>
      <c r="J144" s="4">
        <v>23167000</v>
      </c>
      <c r="K144" s="4">
        <v>23082000</v>
      </c>
      <c r="L144" s="4">
        <v>-7951000</v>
      </c>
      <c r="M144" s="4">
        <v>17017000</v>
      </c>
      <c r="N144" s="4">
        <v>9946000</v>
      </c>
      <c r="O144" s="5">
        <v>9946000</v>
      </c>
      <c r="P144" s="4">
        <v>-1780000</v>
      </c>
      <c r="Q144" s="4">
        <v>-1529000</v>
      </c>
      <c r="R144" s="4">
        <v>73000</v>
      </c>
      <c r="S144" s="4">
        <v>13182000</v>
      </c>
    </row>
    <row r="145" spans="1:19" ht="16" x14ac:dyDescent="0.2">
      <c r="A145" s="3" t="s">
        <v>147</v>
      </c>
      <c r="B145" s="4" t="s">
        <v>24</v>
      </c>
      <c r="C145" s="4">
        <v>8771000</v>
      </c>
      <c r="D145" s="4" t="s">
        <v>24</v>
      </c>
      <c r="E145" s="4">
        <v>29104000</v>
      </c>
      <c r="F145" s="4" t="s">
        <v>24</v>
      </c>
      <c r="G145" s="4" t="s">
        <v>24</v>
      </c>
      <c r="H145" s="4">
        <v>19365000</v>
      </c>
      <c r="I145" s="4">
        <v>1157000</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-1823000</v>
      </c>
      <c r="C146" s="4">
        <v>-4702000</v>
      </c>
      <c r="D146" s="4">
        <v>-7415000</v>
      </c>
      <c r="E146" s="4">
        <v>-2663000</v>
      </c>
      <c r="F146" s="4">
        <v>-4467000</v>
      </c>
      <c r="G146" s="4">
        <v>2016000</v>
      </c>
      <c r="H146" s="4">
        <v>1042000</v>
      </c>
      <c r="I146" s="4">
        <v>5132000</v>
      </c>
      <c r="J146" s="4">
        <v>-3083000</v>
      </c>
      <c r="K146" s="4">
        <v>1158000</v>
      </c>
      <c r="L146" s="4">
        <v>-5841000</v>
      </c>
      <c r="M146" s="4">
        <v>17453000</v>
      </c>
      <c r="N146" s="4">
        <v>5447000</v>
      </c>
      <c r="O146" s="5">
        <v>5447000</v>
      </c>
      <c r="P146" s="4">
        <v>3405000</v>
      </c>
      <c r="Q146" s="4">
        <v>2010000</v>
      </c>
      <c r="R146" s="4">
        <v>546000</v>
      </c>
      <c r="S146" s="4">
        <v>-514000</v>
      </c>
    </row>
    <row r="147" spans="1:19" ht="16" x14ac:dyDescent="0.2">
      <c r="A147" s="3" t="s">
        <v>149</v>
      </c>
      <c r="B147" s="4">
        <v>15778000</v>
      </c>
      <c r="C147" s="4">
        <v>-8894000</v>
      </c>
      <c r="D147" s="4">
        <v>-45964000</v>
      </c>
      <c r="E147" s="4">
        <v>-7521000</v>
      </c>
      <c r="F147" s="4">
        <v>-21652000</v>
      </c>
      <c r="G147" s="4">
        <v>-16125000</v>
      </c>
      <c r="H147" s="4">
        <v>-20792000</v>
      </c>
      <c r="I147" s="4">
        <v>-8205000</v>
      </c>
      <c r="J147" s="4">
        <v>-73910000</v>
      </c>
      <c r="K147" s="4">
        <v>66159000</v>
      </c>
      <c r="L147" s="4">
        <v>-95818000</v>
      </c>
      <c r="M147" s="4">
        <v>-125487000</v>
      </c>
      <c r="N147" s="4">
        <v>-88281000</v>
      </c>
      <c r="O147" s="5">
        <v>-88281000</v>
      </c>
      <c r="P147" s="4">
        <v>14567000</v>
      </c>
      <c r="Q147" s="4">
        <v>-154782000</v>
      </c>
      <c r="R147" s="4">
        <v>107443000</v>
      </c>
      <c r="S147" s="4">
        <v>-55509000</v>
      </c>
    </row>
    <row r="148" spans="1:19" ht="16" x14ac:dyDescent="0.2">
      <c r="A148" s="3" t="s">
        <v>150</v>
      </c>
      <c r="B148" s="4">
        <v>-3409000</v>
      </c>
      <c r="C148" s="4">
        <v>-9120000</v>
      </c>
      <c r="D148" s="4">
        <v>-31923000</v>
      </c>
      <c r="E148" s="4">
        <v>-3603000</v>
      </c>
      <c r="F148" s="4">
        <v>-21223000</v>
      </c>
      <c r="G148" s="4">
        <v>-66862000</v>
      </c>
      <c r="H148" s="4">
        <v>-26199000</v>
      </c>
      <c r="I148" s="4">
        <v>-49251000</v>
      </c>
      <c r="J148" s="4">
        <v>-65023000</v>
      </c>
      <c r="K148" s="4">
        <v>8777000</v>
      </c>
      <c r="L148" s="4">
        <v>-120774000</v>
      </c>
      <c r="M148" s="4">
        <v>-127634000</v>
      </c>
      <c r="N148" s="4">
        <v>-90014000</v>
      </c>
      <c r="O148" s="5">
        <v>-90014000</v>
      </c>
      <c r="P148" s="4">
        <v>-9242000</v>
      </c>
      <c r="Q148" s="4">
        <v>-127887000</v>
      </c>
      <c r="R148" s="4">
        <v>71461000</v>
      </c>
      <c r="S148" s="4">
        <v>-24346000</v>
      </c>
    </row>
    <row r="149" spans="1:19" ht="16" x14ac:dyDescent="0.2">
      <c r="A149" s="3" t="s">
        <v>151</v>
      </c>
      <c r="B149" s="4">
        <v>-2666000</v>
      </c>
      <c r="C149" s="4">
        <v>-218000</v>
      </c>
      <c r="D149" s="4">
        <v>-1777000</v>
      </c>
      <c r="E149" s="4">
        <v>4012000</v>
      </c>
      <c r="F149" s="4">
        <v>-1731000</v>
      </c>
      <c r="G149" s="4">
        <v>-2509000</v>
      </c>
      <c r="H149" s="4">
        <v>1294000</v>
      </c>
      <c r="I149" s="4">
        <v>-3959000</v>
      </c>
      <c r="J149" s="4">
        <v>-4719000</v>
      </c>
      <c r="K149" s="4">
        <v>1348000</v>
      </c>
      <c r="L149" s="4">
        <v>-24602000</v>
      </c>
      <c r="M149" s="4">
        <v>-10851000</v>
      </c>
      <c r="N149" s="4">
        <v>26549000</v>
      </c>
      <c r="O149" s="5">
        <v>26549000</v>
      </c>
      <c r="P149" s="4">
        <v>4020000</v>
      </c>
      <c r="Q149" s="4">
        <v>3981000</v>
      </c>
      <c r="R149" s="4">
        <v>6869000</v>
      </c>
      <c r="S149" s="4">
        <v>11679000</v>
      </c>
    </row>
    <row r="150" spans="1:19" ht="16" x14ac:dyDescent="0.2">
      <c r="A150" s="3" t="s">
        <v>152</v>
      </c>
      <c r="B150" s="4">
        <v>4785000</v>
      </c>
      <c r="C150" s="4">
        <v>6026000</v>
      </c>
      <c r="D150" s="4">
        <v>-5971000</v>
      </c>
      <c r="E150" s="4">
        <v>-4500000</v>
      </c>
      <c r="F150" s="4">
        <v>69000</v>
      </c>
      <c r="G150" s="4">
        <v>-738000</v>
      </c>
      <c r="H150" s="4">
        <v>1760000</v>
      </c>
      <c r="I150" s="4">
        <v>-776000</v>
      </c>
      <c r="J150" s="4">
        <v>-204000</v>
      </c>
      <c r="K150" s="4">
        <v>141000</v>
      </c>
      <c r="L150" s="4">
        <v>7025000</v>
      </c>
      <c r="M150" s="4">
        <v>-5156000</v>
      </c>
      <c r="N150" s="4">
        <v>-59949000</v>
      </c>
      <c r="O150" s="5">
        <v>-59949000</v>
      </c>
      <c r="P150" s="4">
        <v>-35303000</v>
      </c>
      <c r="Q150" s="4">
        <v>6127000</v>
      </c>
      <c r="R150" s="4">
        <v>-4654000</v>
      </c>
      <c r="S150" s="4">
        <v>-26119000</v>
      </c>
    </row>
    <row r="151" spans="1:19" ht="16" x14ac:dyDescent="0.2">
      <c r="A151" s="3" t="s">
        <v>153</v>
      </c>
      <c r="B151" s="4">
        <v>8143000</v>
      </c>
      <c r="C151" s="4">
        <v>-6152000</v>
      </c>
      <c r="D151" s="4">
        <v>16358000</v>
      </c>
      <c r="E151" s="4">
        <v>8241000</v>
      </c>
      <c r="F151" s="4">
        <v>-5897000</v>
      </c>
      <c r="G151" s="4">
        <v>51135000</v>
      </c>
      <c r="H151" s="4">
        <v>3936000</v>
      </c>
      <c r="I151" s="4">
        <v>50171000</v>
      </c>
      <c r="J151" s="4">
        <v>21795000</v>
      </c>
      <c r="K151" s="4">
        <v>51762000</v>
      </c>
      <c r="L151" s="4">
        <v>53658000</v>
      </c>
      <c r="M151" s="4">
        <v>36355000</v>
      </c>
      <c r="N151" s="4">
        <v>39876000</v>
      </c>
      <c r="O151" s="5">
        <v>39876000</v>
      </c>
      <c r="P151" s="4">
        <v>60271000</v>
      </c>
      <c r="Q151" s="4">
        <v>-25037000</v>
      </c>
      <c r="R151" s="4">
        <v>17811000</v>
      </c>
      <c r="S151" s="4">
        <v>-13169000</v>
      </c>
    </row>
    <row r="152" spans="1:19" ht="16" x14ac:dyDescent="0.2">
      <c r="A152" s="3" t="s">
        <v>154</v>
      </c>
      <c r="B152" s="4">
        <v>8925000</v>
      </c>
      <c r="C152" s="4">
        <v>570000</v>
      </c>
      <c r="D152" s="4">
        <v>-22651000</v>
      </c>
      <c r="E152" s="4">
        <v>-11671000</v>
      </c>
      <c r="F152" s="4">
        <v>7130000</v>
      </c>
      <c r="G152" s="4">
        <v>2849000</v>
      </c>
      <c r="H152" s="4">
        <v>-1583000</v>
      </c>
      <c r="I152" s="4">
        <v>-4390000</v>
      </c>
      <c r="J152" s="4">
        <v>-25759000</v>
      </c>
      <c r="K152" s="4">
        <v>4131000</v>
      </c>
      <c r="L152" s="4">
        <v>-11125000</v>
      </c>
      <c r="M152" s="4">
        <v>-18201000</v>
      </c>
      <c r="N152" s="4">
        <v>-4743000</v>
      </c>
      <c r="O152" s="5">
        <v>-4743000</v>
      </c>
      <c r="P152" s="4">
        <v>-5179000</v>
      </c>
      <c r="Q152" s="4">
        <v>-11966000</v>
      </c>
      <c r="R152" s="4">
        <v>15956000</v>
      </c>
      <c r="S152" s="4">
        <v>-3554000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242932000</v>
      </c>
      <c r="C154" s="4">
        <v>229673000</v>
      </c>
      <c r="D154" s="4">
        <v>199326000</v>
      </c>
      <c r="E154" s="4">
        <v>262594000</v>
      </c>
      <c r="F154" s="4">
        <v>265076000</v>
      </c>
      <c r="G154" s="4">
        <v>332498000</v>
      </c>
      <c r="H154" s="4">
        <v>492058000</v>
      </c>
      <c r="I154" s="4">
        <v>535069000</v>
      </c>
      <c r="J154" s="4">
        <v>646646000</v>
      </c>
      <c r="K154" s="4">
        <v>917885000</v>
      </c>
      <c r="L154" s="4">
        <v>990891000</v>
      </c>
      <c r="M154" s="4">
        <v>1176683000</v>
      </c>
      <c r="N154" s="4">
        <v>1364210000</v>
      </c>
      <c r="O154" s="5">
        <v>1364210000</v>
      </c>
      <c r="P154" s="4">
        <v>311559000</v>
      </c>
      <c r="Q154" s="4">
        <v>188274000</v>
      </c>
      <c r="R154" s="4">
        <v>505800000</v>
      </c>
      <c r="S154" s="4">
        <v>358577000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20602000</v>
      </c>
      <c r="C156" s="4">
        <v>1268000</v>
      </c>
      <c r="D156" s="4">
        <v>6266000</v>
      </c>
      <c r="E156" s="4">
        <v>3707000</v>
      </c>
      <c r="F156" s="4">
        <v>1738000</v>
      </c>
      <c r="G156" s="4">
        <v>662000</v>
      </c>
      <c r="H156" s="4">
        <v>765000</v>
      </c>
      <c r="I156" s="4">
        <v>6425000</v>
      </c>
      <c r="J156" s="4">
        <v>18361000</v>
      </c>
      <c r="K156" s="4">
        <v>2466000</v>
      </c>
      <c r="L156" s="4">
        <v>2530000</v>
      </c>
      <c r="M156" s="4">
        <v>4333000</v>
      </c>
      <c r="N156" s="4">
        <v>33919000</v>
      </c>
      <c r="O156" s="5">
        <v>33919000</v>
      </c>
      <c r="P156" s="4">
        <v>185000</v>
      </c>
      <c r="Q156" s="4">
        <v>16158000</v>
      </c>
      <c r="R156" s="4">
        <v>4166000</v>
      </c>
      <c r="S156" s="4">
        <v>13410000</v>
      </c>
    </row>
    <row r="157" spans="1:19" ht="16" x14ac:dyDescent="0.2">
      <c r="A157" s="3" t="s">
        <v>159</v>
      </c>
      <c r="B157" s="4">
        <v>20602000</v>
      </c>
      <c r="C157" s="4">
        <v>1268000</v>
      </c>
      <c r="D157" s="4">
        <v>6266000</v>
      </c>
      <c r="E157" s="4">
        <v>3707000</v>
      </c>
      <c r="F157" s="4">
        <v>1738000</v>
      </c>
      <c r="G157" s="4">
        <v>662000</v>
      </c>
      <c r="H157" s="4">
        <v>765000</v>
      </c>
      <c r="I157" s="4">
        <v>6425000</v>
      </c>
      <c r="J157" s="4">
        <v>18361000</v>
      </c>
      <c r="K157" s="4">
        <v>2466000</v>
      </c>
      <c r="L157" s="4">
        <v>2530000</v>
      </c>
      <c r="M157" s="4">
        <v>4333000</v>
      </c>
      <c r="N157" s="4">
        <v>33919000</v>
      </c>
      <c r="O157" s="5">
        <v>33919000</v>
      </c>
      <c r="P157" s="4">
        <v>185000</v>
      </c>
      <c r="Q157" s="4">
        <v>16158000</v>
      </c>
      <c r="R157" s="4">
        <v>4166000</v>
      </c>
      <c r="S157" s="4">
        <v>13410000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-105082000</v>
      </c>
      <c r="C159" s="4">
        <v>-57396000</v>
      </c>
      <c r="D159" s="4">
        <v>-214287000</v>
      </c>
      <c r="E159" s="4">
        <v>-95810000</v>
      </c>
      <c r="F159" s="4">
        <v>-79153000</v>
      </c>
      <c r="G159" s="4">
        <v>-173917000</v>
      </c>
      <c r="H159" s="4">
        <v>-172178000</v>
      </c>
      <c r="I159" s="4">
        <v>-296697000</v>
      </c>
      <c r="J159" s="4">
        <v>-374628000</v>
      </c>
      <c r="K159" s="4">
        <v>-603674000</v>
      </c>
      <c r="L159" s="4">
        <v>-462996000</v>
      </c>
      <c r="M159" s="4">
        <v>-337448000</v>
      </c>
      <c r="N159" s="4">
        <v>-516636000</v>
      </c>
      <c r="O159" s="5">
        <v>-516636000</v>
      </c>
      <c r="P159" s="4">
        <v>-152655000</v>
      </c>
      <c r="Q159" s="4">
        <v>-104064000</v>
      </c>
      <c r="R159" s="4">
        <v>-89805000</v>
      </c>
      <c r="S159" s="4">
        <v>-170112000</v>
      </c>
    </row>
    <row r="160" spans="1:19" ht="16" x14ac:dyDescent="0.2">
      <c r="A160" s="3" t="s">
        <v>162</v>
      </c>
      <c r="B160" s="4">
        <v>-105082000</v>
      </c>
      <c r="C160" s="4">
        <v>-57396000</v>
      </c>
      <c r="D160" s="4">
        <v>-214287000</v>
      </c>
      <c r="E160" s="4">
        <v>-95810000</v>
      </c>
      <c r="F160" s="4">
        <v>-79153000</v>
      </c>
      <c r="G160" s="4">
        <v>-173917000</v>
      </c>
      <c r="H160" s="4">
        <v>-172178000</v>
      </c>
      <c r="I160" s="4">
        <v>-296697000</v>
      </c>
      <c r="J160" s="4">
        <v>-374628000</v>
      </c>
      <c r="K160" s="4">
        <v>-603674000</v>
      </c>
      <c r="L160" s="4">
        <v>-462996000</v>
      </c>
      <c r="M160" s="4">
        <v>-337448000</v>
      </c>
      <c r="N160" s="4">
        <v>-516636000</v>
      </c>
      <c r="O160" s="5">
        <v>-516636000</v>
      </c>
      <c r="P160" s="4">
        <v>-152655000</v>
      </c>
      <c r="Q160" s="4">
        <v>-104064000</v>
      </c>
      <c r="R160" s="4">
        <v>-89805000</v>
      </c>
      <c r="S160" s="4">
        <v>-170112000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v>379000</v>
      </c>
      <c r="H162" s="4" t="s">
        <v>24</v>
      </c>
      <c r="I162" s="4" t="s">
        <v>24</v>
      </c>
      <c r="J162" s="4" t="s">
        <v>24</v>
      </c>
      <c r="K162" s="4" t="s">
        <v>24</v>
      </c>
      <c r="L162" s="4" t="s">
        <v>24</v>
      </c>
      <c r="M162" s="4" t="s">
        <v>24</v>
      </c>
      <c r="N162" s="4">
        <v>-1406588000</v>
      </c>
      <c r="O162" s="5">
        <v>-1406588000</v>
      </c>
      <c r="P162" s="4" t="s">
        <v>24</v>
      </c>
      <c r="Q162" s="4" t="s">
        <v>24</v>
      </c>
      <c r="R162" s="4" t="s">
        <v>24</v>
      </c>
      <c r="S162" s="4">
        <v>-1406588000</v>
      </c>
    </row>
    <row r="163" spans="1:19" ht="16" x14ac:dyDescent="0.2">
      <c r="A163" s="3" t="s">
        <v>165</v>
      </c>
      <c r="B163" s="4" t="s">
        <v>24</v>
      </c>
      <c r="C163" s="4" t="s">
        <v>24</v>
      </c>
      <c r="D163" s="4" t="s">
        <v>24</v>
      </c>
      <c r="E163" s="4" t="s">
        <v>24</v>
      </c>
      <c r="F163" s="4" t="s">
        <v>24</v>
      </c>
      <c r="G163" s="4">
        <v>21498000</v>
      </c>
      <c r="H163" s="4" t="s">
        <v>24</v>
      </c>
      <c r="I163" s="4" t="s">
        <v>24</v>
      </c>
      <c r="J163" s="4" t="s">
        <v>24</v>
      </c>
      <c r="K163" s="4" t="s">
        <v>24</v>
      </c>
      <c r="L163" s="4" t="s">
        <v>24</v>
      </c>
      <c r="M163" s="4">
        <v>374866000</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t="s">
        <v>24</v>
      </c>
      <c r="G164" s="4">
        <v>-21119000</v>
      </c>
      <c r="H164" s="4" t="s">
        <v>24</v>
      </c>
      <c r="I164" s="4" t="s">
        <v>24</v>
      </c>
      <c r="J164" s="4" t="s">
        <v>24</v>
      </c>
      <c r="K164" s="4" t="s">
        <v>24</v>
      </c>
      <c r="L164" s="4" t="s">
        <v>24</v>
      </c>
      <c r="M164" s="4">
        <v>-374866000</v>
      </c>
      <c r="N164" s="4">
        <v>-1406588000</v>
      </c>
      <c r="O164" s="5">
        <v>-1406588000</v>
      </c>
      <c r="P164" s="4" t="s">
        <v>24</v>
      </c>
      <c r="Q164" s="4" t="s">
        <v>24</v>
      </c>
      <c r="R164" s="4" t="s">
        <v>24</v>
      </c>
      <c r="S164" s="4">
        <v>-1406588000</v>
      </c>
    </row>
    <row r="165" spans="1:19" ht="16" x14ac:dyDescent="0.2">
      <c r="A165" s="3" t="s">
        <v>167</v>
      </c>
      <c r="B165" s="4">
        <v>-34912000</v>
      </c>
      <c r="C165" s="4">
        <v>-2564000</v>
      </c>
      <c r="D165" s="4" t="s">
        <v>24</v>
      </c>
      <c r="E165" s="4" t="s">
        <v>24</v>
      </c>
      <c r="F165" s="4">
        <v>-4500000</v>
      </c>
      <c r="G165" s="4" t="s">
        <v>24</v>
      </c>
      <c r="H165" s="4">
        <v>-3566000</v>
      </c>
      <c r="I165" s="4">
        <v>-6991000</v>
      </c>
      <c r="J165" s="4">
        <v>-745000</v>
      </c>
      <c r="K165" s="4">
        <v>-11702000</v>
      </c>
      <c r="L165" s="4">
        <v>-5000000</v>
      </c>
      <c r="M165" s="4">
        <v>-109195000</v>
      </c>
      <c r="N165" s="4">
        <v>-2744000</v>
      </c>
      <c r="O165" s="5">
        <v>-751000</v>
      </c>
      <c r="P165" s="4" t="s">
        <v>24</v>
      </c>
      <c r="Q165" s="4" t="s">
        <v>24</v>
      </c>
      <c r="R165" s="4">
        <v>-751000</v>
      </c>
      <c r="S165" s="4" t="s">
        <v>24</v>
      </c>
    </row>
    <row r="166" spans="1:19" ht="16" x14ac:dyDescent="0.2">
      <c r="A166" s="3" t="s">
        <v>168</v>
      </c>
      <c r="B166" s="4" t="s">
        <v>24</v>
      </c>
      <c r="C166" s="4" t="s">
        <v>24</v>
      </c>
      <c r="D166" s="4" t="s">
        <v>24</v>
      </c>
      <c r="E166" s="4" t="s">
        <v>24</v>
      </c>
      <c r="F166" s="4" t="s">
        <v>24</v>
      </c>
      <c r="G166" s="4" t="s">
        <v>24</v>
      </c>
      <c r="H166" s="4" t="s">
        <v>24</v>
      </c>
      <c r="I166" s="4">
        <v>1796000</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-34912000</v>
      </c>
      <c r="C167" s="4">
        <v>-2564000</v>
      </c>
      <c r="D167" s="4" t="s">
        <v>24</v>
      </c>
      <c r="E167" s="4" t="s">
        <v>24</v>
      </c>
      <c r="F167" s="4">
        <v>-4500000</v>
      </c>
      <c r="G167" s="4" t="s">
        <v>24</v>
      </c>
      <c r="H167" s="4">
        <v>-3566000</v>
      </c>
      <c r="I167" s="4">
        <v>-8787000</v>
      </c>
      <c r="J167" s="4">
        <v>-745000</v>
      </c>
      <c r="K167" s="4">
        <v>-11702000</v>
      </c>
      <c r="L167" s="4">
        <v>-5000000</v>
      </c>
      <c r="M167" s="4">
        <v>-109195000</v>
      </c>
      <c r="N167" s="4">
        <v>-2744000</v>
      </c>
      <c r="O167" s="5">
        <v>-751000</v>
      </c>
      <c r="P167" s="4" t="s">
        <v>24</v>
      </c>
      <c r="Q167" s="4" t="s">
        <v>24</v>
      </c>
      <c r="R167" s="4">
        <v>-751000</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34912000</v>
      </c>
      <c r="C169" s="4">
        <v>10605000</v>
      </c>
      <c r="D169" s="4" t="s">
        <v>24</v>
      </c>
      <c r="E169" s="4" t="s">
        <v>24</v>
      </c>
      <c r="F169" s="4" t="s">
        <v>24</v>
      </c>
      <c r="G169" s="4" t="s">
        <v>24</v>
      </c>
      <c r="H169" s="4">
        <v>-160812000</v>
      </c>
      <c r="I169" s="4">
        <v>8787000</v>
      </c>
      <c r="J169" s="4">
        <v>745000</v>
      </c>
      <c r="K169" s="4">
        <v>11702000</v>
      </c>
      <c r="L169" s="4" t="s">
        <v>24</v>
      </c>
      <c r="M169" s="4" t="s">
        <v>24</v>
      </c>
      <c r="N169" s="4" t="s">
        <v>24</v>
      </c>
      <c r="O169" s="5">
        <v>-1993000</v>
      </c>
      <c r="P169" s="4" t="s">
        <v>24</v>
      </c>
      <c r="Q169" s="4">
        <v>-1993000</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-84480000</v>
      </c>
      <c r="C171" s="4">
        <v>-48087000</v>
      </c>
      <c r="D171" s="4">
        <v>-208021000</v>
      </c>
      <c r="E171" s="4">
        <v>-92103000</v>
      </c>
      <c r="F171" s="4">
        <v>-81915000</v>
      </c>
      <c r="G171" s="4">
        <v>-172876000</v>
      </c>
      <c r="H171" s="4">
        <v>-335791000</v>
      </c>
      <c r="I171" s="4">
        <v>-288476000</v>
      </c>
      <c r="J171" s="4">
        <v>-356267000</v>
      </c>
      <c r="K171" s="4">
        <v>-601208000</v>
      </c>
      <c r="L171" s="4">
        <v>-465466000</v>
      </c>
      <c r="M171" s="4">
        <v>-442310000</v>
      </c>
      <c r="N171" s="4">
        <v>-1892049000</v>
      </c>
      <c r="O171" s="5">
        <v>-1892049000</v>
      </c>
      <c r="P171" s="4">
        <v>-152470000</v>
      </c>
      <c r="Q171" s="4">
        <v>-89899000</v>
      </c>
      <c r="R171" s="4">
        <v>-86390000</v>
      </c>
      <c r="S171" s="4">
        <v>-1563290000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375000000</v>
      </c>
      <c r="C173" s="4">
        <v>68750000</v>
      </c>
      <c r="D173" s="4">
        <v>-96660000</v>
      </c>
      <c r="E173" s="4">
        <v>-75000000</v>
      </c>
      <c r="F173" s="4">
        <v>348939000</v>
      </c>
      <c r="G173" s="4">
        <v>-6032000</v>
      </c>
      <c r="H173" s="4">
        <v>-7000000</v>
      </c>
      <c r="I173" s="4">
        <v>-231000000</v>
      </c>
      <c r="J173" s="4" t="s">
        <v>24</v>
      </c>
      <c r="K173" s="4">
        <v>-1065000</v>
      </c>
      <c r="L173" s="4">
        <v>-1118000</v>
      </c>
      <c r="M173" s="4">
        <v>-417289000</v>
      </c>
      <c r="N173" s="4">
        <v>10547000</v>
      </c>
      <c r="O173" s="5">
        <v>22990000</v>
      </c>
      <c r="P173" s="4">
        <v>-7000</v>
      </c>
      <c r="Q173" s="4">
        <v>-6000</v>
      </c>
      <c r="R173" s="4">
        <v>-5000</v>
      </c>
      <c r="S173" s="4">
        <v>23008000</v>
      </c>
    </row>
    <row r="174" spans="1:19" ht="16" x14ac:dyDescent="0.2">
      <c r="A174" s="3" t="s">
        <v>175</v>
      </c>
      <c r="B174" s="4">
        <v>400000000</v>
      </c>
      <c r="C174" s="4">
        <v>125000000</v>
      </c>
      <c r="D174" s="4" t="s">
        <v>24</v>
      </c>
      <c r="E174" s="4" t="s">
        <v>24</v>
      </c>
      <c r="F174" s="4">
        <v>698939000</v>
      </c>
      <c r="G174" s="4">
        <v>331468000</v>
      </c>
      <c r="H174" s="4" t="s">
        <v>24</v>
      </c>
      <c r="I174" s="4" t="s">
        <v>24</v>
      </c>
      <c r="J174" s="4" t="s">
        <v>24</v>
      </c>
      <c r="K174" s="4" t="s">
        <v>24</v>
      </c>
      <c r="L174" s="4" t="s">
        <v>24</v>
      </c>
      <c r="M174" s="4" t="s">
        <v>24</v>
      </c>
      <c r="N174" s="4">
        <v>44494000</v>
      </c>
      <c r="O174" s="5">
        <v>23013000</v>
      </c>
      <c r="P174" s="4" t="s">
        <v>24</v>
      </c>
      <c r="Q174" s="4" t="s">
        <v>24</v>
      </c>
      <c r="R174" s="4" t="s">
        <v>24</v>
      </c>
      <c r="S174" s="4">
        <v>23013000</v>
      </c>
    </row>
    <row r="175" spans="1:19" ht="16" x14ac:dyDescent="0.2">
      <c r="A175" s="3" t="s">
        <v>176</v>
      </c>
      <c r="B175" s="4">
        <v>-25000000</v>
      </c>
      <c r="C175" s="4">
        <v>-56250000</v>
      </c>
      <c r="D175" s="4">
        <v>-96660000</v>
      </c>
      <c r="E175" s="4">
        <v>-75000000</v>
      </c>
      <c r="F175" s="4">
        <v>-350000000</v>
      </c>
      <c r="G175" s="4">
        <v>-337500000</v>
      </c>
      <c r="H175" s="4">
        <v>-7000000</v>
      </c>
      <c r="I175" s="4">
        <v>-231000000</v>
      </c>
      <c r="J175" s="4" t="s">
        <v>24</v>
      </c>
      <c r="K175" s="4">
        <v>-1065000</v>
      </c>
      <c r="L175" s="4">
        <v>-1118000</v>
      </c>
      <c r="M175" s="4">
        <v>-417289000</v>
      </c>
      <c r="N175" s="4">
        <v>-33947000</v>
      </c>
      <c r="O175" s="5">
        <v>-23000</v>
      </c>
      <c r="P175" s="4">
        <v>-7000</v>
      </c>
      <c r="Q175" s="4">
        <v>-6000</v>
      </c>
      <c r="R175" s="4">
        <v>-5000</v>
      </c>
      <c r="S175" s="4">
        <v>-5000</v>
      </c>
    </row>
    <row r="176" spans="1:19" ht="16" x14ac:dyDescent="0.2">
      <c r="A176" s="3" t="s">
        <v>177</v>
      </c>
      <c r="B176" s="4">
        <v>-737681000</v>
      </c>
      <c r="C176" s="4">
        <v>-201328000</v>
      </c>
      <c r="D176" s="4">
        <v>-15009000</v>
      </c>
      <c r="E176" s="4">
        <v>-572000</v>
      </c>
      <c r="F176" s="4">
        <v>-237306000</v>
      </c>
      <c r="G176" s="4">
        <v>-457894000</v>
      </c>
      <c r="H176" s="4" t="s">
        <v>24</v>
      </c>
      <c r="I176" s="4" t="s">
        <v>24</v>
      </c>
      <c r="J176" s="4">
        <v>-364997000</v>
      </c>
      <c r="K176" s="4" t="s">
        <v>24</v>
      </c>
      <c r="L176" s="4" t="s">
        <v>24</v>
      </c>
      <c r="M176" s="4" t="s">
        <v>24</v>
      </c>
      <c r="N176" s="4" t="s">
        <v>24</v>
      </c>
      <c r="O176" s="5" t="s">
        <v>24</v>
      </c>
      <c r="P176" s="4" t="s">
        <v>24</v>
      </c>
      <c r="Q176" s="4" t="s">
        <v>24</v>
      </c>
      <c r="R176" s="4" t="s">
        <v>24</v>
      </c>
      <c r="S176" s="4" t="s">
        <v>24</v>
      </c>
    </row>
    <row r="177" spans="1:19" ht="16" x14ac:dyDescent="0.2">
      <c r="A177" s="3" t="s">
        <v>178</v>
      </c>
      <c r="B177" s="4">
        <v>1957000</v>
      </c>
      <c r="C177" s="4">
        <v>1957000</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v>-739638000</v>
      </c>
      <c r="C178" s="4">
        <v>-203285000</v>
      </c>
      <c r="D178" s="4">
        <v>-15009000</v>
      </c>
      <c r="E178" s="4">
        <v>-572000</v>
      </c>
      <c r="F178" s="4">
        <v>-237306000</v>
      </c>
      <c r="G178" s="4">
        <v>-457894000</v>
      </c>
      <c r="H178" s="4" t="s">
        <v>24</v>
      </c>
      <c r="I178" s="4" t="s">
        <v>24</v>
      </c>
      <c r="J178" s="4">
        <v>-364997000</v>
      </c>
      <c r="K178" s="4" t="s">
        <v>24</v>
      </c>
      <c r="L178" s="4" t="s">
        <v>24</v>
      </c>
      <c r="M178" s="4" t="s">
        <v>24</v>
      </c>
      <c r="N178" s="4" t="s">
        <v>24</v>
      </c>
      <c r="O178" s="5" t="s">
        <v>24</v>
      </c>
      <c r="P178" s="4" t="s">
        <v>24</v>
      </c>
      <c r="Q178" s="4" t="s">
        <v>24</v>
      </c>
      <c r="R178" s="4" t="s">
        <v>24</v>
      </c>
      <c r="S178" s="4" t="s">
        <v>24</v>
      </c>
    </row>
    <row r="179" spans="1:19" ht="16" x14ac:dyDescent="0.2">
      <c r="A179" s="3" t="s">
        <v>180</v>
      </c>
      <c r="B179" s="4">
        <v>8606000</v>
      </c>
      <c r="C179" s="4">
        <v>17705000</v>
      </c>
      <c r="D179" s="4">
        <v>45778000</v>
      </c>
      <c r="E179" s="4">
        <v>-1251000</v>
      </c>
      <c r="F179" s="4">
        <v>8729000</v>
      </c>
      <c r="G179" s="4">
        <v>15430000</v>
      </c>
      <c r="H179" s="4">
        <v>-99975000</v>
      </c>
      <c r="I179" s="4">
        <v>48962000</v>
      </c>
      <c r="J179" s="4">
        <v>-5307000</v>
      </c>
      <c r="K179" s="4">
        <v>-26349000</v>
      </c>
      <c r="L179" s="4">
        <v>42040000</v>
      </c>
      <c r="M179" s="4">
        <v>34596000</v>
      </c>
      <c r="N179" s="4">
        <v>56068000</v>
      </c>
      <c r="O179" s="5">
        <v>43625000</v>
      </c>
      <c r="P179" s="4">
        <v>766000</v>
      </c>
      <c r="Q179" s="4">
        <v>14581000</v>
      </c>
      <c r="R179" s="4">
        <v>35691000</v>
      </c>
      <c r="S179" s="4">
        <v>-7413000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-354075000</v>
      </c>
      <c r="C181" s="4">
        <v>-114873000</v>
      </c>
      <c r="D181" s="4">
        <v>-65891000</v>
      </c>
      <c r="E181" s="4">
        <v>-76823000</v>
      </c>
      <c r="F181" s="4">
        <v>120362000</v>
      </c>
      <c r="G181" s="4">
        <v>-448496000</v>
      </c>
      <c r="H181" s="4">
        <v>-106975000</v>
      </c>
      <c r="I181" s="4">
        <v>-182038000</v>
      </c>
      <c r="J181" s="4">
        <v>-370304000</v>
      </c>
      <c r="K181" s="4">
        <v>-27414000</v>
      </c>
      <c r="L181" s="4">
        <v>40922000</v>
      </c>
      <c r="M181" s="4">
        <v>-382693000</v>
      </c>
      <c r="N181" s="4">
        <v>66615000</v>
      </c>
      <c r="O181" s="5">
        <v>66615000</v>
      </c>
      <c r="P181" s="4">
        <v>759000</v>
      </c>
      <c r="Q181" s="4">
        <v>14575000</v>
      </c>
      <c r="R181" s="4">
        <v>35686000</v>
      </c>
      <c r="S181" s="4">
        <v>15595000</v>
      </c>
    </row>
    <row r="182" spans="1:19" ht="16" x14ac:dyDescent="0.2">
      <c r="A182" s="3" t="s">
        <v>182</v>
      </c>
      <c r="B182" s="4">
        <v>1444000</v>
      </c>
      <c r="C182" s="4">
        <v>-610000</v>
      </c>
      <c r="D182" s="4">
        <v>-1895000</v>
      </c>
      <c r="E182" s="4">
        <v>1369000</v>
      </c>
      <c r="F182" s="4">
        <v>-6179000</v>
      </c>
      <c r="G182" s="4">
        <v>-11289000</v>
      </c>
      <c r="H182" s="4">
        <v>4959000</v>
      </c>
      <c r="I182" s="4">
        <v>-135000</v>
      </c>
      <c r="J182" s="4">
        <v>-8276000</v>
      </c>
      <c r="K182" s="4">
        <v>2136000</v>
      </c>
      <c r="L182" s="4">
        <v>4195000</v>
      </c>
      <c r="M182" s="4">
        <v>-15704000</v>
      </c>
      <c r="N182" s="4">
        <v>34383000</v>
      </c>
      <c r="O182" s="5">
        <v>34383000</v>
      </c>
      <c r="P182" s="4">
        <v>-4693000</v>
      </c>
      <c r="Q182" s="4">
        <v>8611000</v>
      </c>
      <c r="R182" s="4">
        <v>-1865000</v>
      </c>
      <c r="S182" s="4">
        <v>32330000</v>
      </c>
    </row>
    <row r="183" spans="1:19" ht="16" x14ac:dyDescent="0.2">
      <c r="A183" s="3" t="s">
        <v>183</v>
      </c>
      <c r="B183" s="4">
        <v>-195623000</v>
      </c>
      <c r="C183" s="4">
        <v>66713000</v>
      </c>
      <c r="D183" s="4">
        <v>-74586000</v>
      </c>
      <c r="E183" s="4">
        <v>93668000</v>
      </c>
      <c r="F183" s="4">
        <v>303523000</v>
      </c>
      <c r="G183" s="4">
        <v>-288874000</v>
      </c>
      <c r="H183" s="4">
        <v>49292000</v>
      </c>
      <c r="I183" s="4">
        <v>64555000</v>
      </c>
      <c r="J183" s="4">
        <v>-79925000</v>
      </c>
      <c r="K183" s="4">
        <v>289263000</v>
      </c>
      <c r="L183" s="4">
        <v>566347000</v>
      </c>
      <c r="M183" s="4">
        <v>351680000</v>
      </c>
      <c r="N183" s="4">
        <v>-461224000</v>
      </c>
      <c r="O183" s="5">
        <v>-461224000</v>
      </c>
      <c r="P183" s="4">
        <v>159848000</v>
      </c>
      <c r="Q183" s="4">
        <v>112950000</v>
      </c>
      <c r="R183" s="4">
        <v>455096000</v>
      </c>
      <c r="S183" s="4">
        <v>-1189118000</v>
      </c>
    </row>
    <row r="184" spans="1:19" ht="16" x14ac:dyDescent="0.2">
      <c r="A184" s="3" t="s">
        <v>54</v>
      </c>
      <c r="B184" s="4">
        <v>310984000</v>
      </c>
      <c r="C184" s="4">
        <v>343291000</v>
      </c>
      <c r="D184" s="4">
        <v>339720000</v>
      </c>
      <c r="E184" s="4">
        <v>357764000</v>
      </c>
      <c r="F184" s="4">
        <v>393294000</v>
      </c>
      <c r="G184" s="4">
        <v>456113000</v>
      </c>
      <c r="H184" s="4">
        <v>538105000</v>
      </c>
      <c r="I184" s="4">
        <v>664516000</v>
      </c>
      <c r="J184" s="4">
        <v>801809000</v>
      </c>
      <c r="K184" s="4">
        <v>920356000</v>
      </c>
      <c r="L184" s="4">
        <v>1259510000</v>
      </c>
      <c r="M184" s="4">
        <v>1513602000</v>
      </c>
      <c r="N184" s="4">
        <v>1646253000</v>
      </c>
      <c r="O184" s="5">
        <v>1646253000</v>
      </c>
      <c r="P184" s="4">
        <v>350830000</v>
      </c>
      <c r="Q184" s="4">
        <v>404292000</v>
      </c>
      <c r="R184" s="4">
        <v>456150000</v>
      </c>
      <c r="S184" s="4">
        <v>434981000</v>
      </c>
    </row>
    <row r="185" spans="1:19" ht="16" x14ac:dyDescent="0.2">
      <c r="A185" s="3" t="s">
        <v>55</v>
      </c>
      <c r="B185" s="6">
        <v>35.65</v>
      </c>
      <c r="C185" s="6">
        <v>37.15</v>
      </c>
      <c r="D185" s="6">
        <v>32.47</v>
      </c>
      <c r="E185" s="6">
        <v>30.75</v>
      </c>
      <c r="F185" s="6">
        <v>34.32</v>
      </c>
      <c r="G185" s="6">
        <v>35.96</v>
      </c>
      <c r="H185" s="6">
        <v>37.159999999999997</v>
      </c>
      <c r="I185" s="6">
        <v>36.799999999999997</v>
      </c>
      <c r="J185" s="6">
        <v>39.270000000000003</v>
      </c>
      <c r="K185" s="6">
        <v>41.73</v>
      </c>
      <c r="L185" s="6">
        <v>46.78</v>
      </c>
      <c r="M185" s="6">
        <v>43.23</v>
      </c>
      <c r="N185" s="6">
        <v>42.54</v>
      </c>
      <c r="O185" s="7">
        <v>42.54</v>
      </c>
      <c r="P185" s="6">
        <v>41.91</v>
      </c>
      <c r="Q185" s="6">
        <v>41.53</v>
      </c>
      <c r="R185" s="6">
        <v>41.87</v>
      </c>
      <c r="S185" s="6">
        <v>42.54</v>
      </c>
    </row>
    <row r="186" spans="1:19" ht="16" x14ac:dyDescent="0.2">
      <c r="A186" s="3" t="s">
        <v>184</v>
      </c>
      <c r="B186" s="4">
        <v>34912000</v>
      </c>
      <c r="C186" s="4">
        <v>2564000</v>
      </c>
      <c r="D186" s="4" t="s">
        <v>24</v>
      </c>
      <c r="E186" s="4" t="s">
        <v>24</v>
      </c>
      <c r="F186" s="4">
        <v>4500000</v>
      </c>
      <c r="G186" s="4" t="s">
        <v>24</v>
      </c>
      <c r="H186" s="4">
        <v>3566000</v>
      </c>
      <c r="I186" s="4">
        <v>6991000</v>
      </c>
      <c r="J186" s="4">
        <v>745000</v>
      </c>
      <c r="K186" s="4">
        <v>11702000</v>
      </c>
      <c r="L186" s="4">
        <v>5000000</v>
      </c>
      <c r="M186" s="4">
        <v>109195000</v>
      </c>
      <c r="N186" s="4">
        <v>2744000</v>
      </c>
      <c r="O186" s="5">
        <v>751000</v>
      </c>
      <c r="P186" s="4" t="s">
        <v>24</v>
      </c>
      <c r="Q186" s="4" t="s">
        <v>24</v>
      </c>
      <c r="R186" s="4">
        <v>751000</v>
      </c>
      <c r="S186" s="4" t="s">
        <v>24</v>
      </c>
    </row>
    <row r="187" spans="1:19" ht="16" x14ac:dyDescent="0.2">
      <c r="A187" s="3" t="s">
        <v>185</v>
      </c>
      <c r="B187" s="4">
        <v>137850000</v>
      </c>
      <c r="C187" s="4">
        <v>172277000</v>
      </c>
      <c r="D187" s="4">
        <v>-14961000</v>
      </c>
      <c r="E187" s="4">
        <v>166784000</v>
      </c>
      <c r="F187" s="4">
        <v>185923000</v>
      </c>
      <c r="G187" s="4">
        <v>158581000</v>
      </c>
      <c r="H187" s="4">
        <v>319880000</v>
      </c>
      <c r="I187" s="4">
        <v>238372000</v>
      </c>
      <c r="J187" s="4">
        <v>272018000</v>
      </c>
      <c r="K187" s="4">
        <v>314211000</v>
      </c>
      <c r="L187" s="4">
        <v>527895000</v>
      </c>
      <c r="M187" s="4">
        <v>839235000</v>
      </c>
      <c r="N187" s="4">
        <v>847574000</v>
      </c>
      <c r="O187" s="5">
        <v>847574000</v>
      </c>
      <c r="P187" s="4">
        <v>158904000</v>
      </c>
      <c r="Q187" s="4">
        <v>84210000</v>
      </c>
      <c r="R187" s="4">
        <v>415995000</v>
      </c>
      <c r="S187" s="4">
        <v>188465000</v>
      </c>
    </row>
    <row r="188" spans="1:19" ht="16" x14ac:dyDescent="0.2">
      <c r="A188" s="28" t="s">
        <v>186</v>
      </c>
      <c r="B188" s="26">
        <v>140110350</v>
      </c>
      <c r="C188" s="26">
        <v>179705042</v>
      </c>
      <c r="D188" s="26">
        <v>-8700126</v>
      </c>
      <c r="E188" s="26">
        <v>172261039</v>
      </c>
      <c r="F188" s="26">
        <v>197375816</v>
      </c>
      <c r="G188" s="26">
        <v>173713347</v>
      </c>
      <c r="H188" s="26">
        <v>339922721</v>
      </c>
      <c r="I188" s="26">
        <v>252546805</v>
      </c>
      <c r="J188" s="26">
        <v>286777780</v>
      </c>
      <c r="K188" s="26">
        <v>330703635</v>
      </c>
      <c r="L188" s="26">
        <v>544796798</v>
      </c>
      <c r="M188" s="26">
        <v>852801528</v>
      </c>
      <c r="N188" s="26">
        <v>847574000</v>
      </c>
      <c r="O188" s="27">
        <v>847574000</v>
      </c>
      <c r="P188" s="26">
        <v>158904000</v>
      </c>
      <c r="Q188" s="26">
        <v>84210000</v>
      </c>
      <c r="R188" s="26">
        <v>415995000</v>
      </c>
      <c r="S188" s="26">
        <v>188465000</v>
      </c>
    </row>
    <row r="189" spans="1:19" ht="16" x14ac:dyDescent="0.2">
      <c r="A189" s="20" t="s">
        <v>199</v>
      </c>
      <c r="B189" s="21"/>
      <c r="C189" s="22">
        <f>(C188/B188)-1</f>
        <v>0.28259648198723353</v>
      </c>
      <c r="D189" s="22">
        <f>(D188/C188)-1</f>
        <v>-1.0484133661647623</v>
      </c>
      <c r="E189" s="22">
        <f>(E188/D188)-1</f>
        <v>-20.79983266909008</v>
      </c>
      <c r="F189" s="22">
        <f t="shared" ref="F189:N189" si="8">(F188/E188)-1</f>
        <v>0.14579487704123273</v>
      </c>
      <c r="G189" s="22">
        <f t="shared" si="8"/>
        <v>-0.11988535110096776</v>
      </c>
      <c r="H189" s="22">
        <f t="shared" si="8"/>
        <v>0.95680255357695687</v>
      </c>
      <c r="I189" s="22">
        <f t="shared" si="8"/>
        <v>-0.25704641261682537</v>
      </c>
      <c r="J189" s="22">
        <f t="shared" si="8"/>
        <v>0.13554309269523324</v>
      </c>
      <c r="K189" s="22">
        <f t="shared" si="8"/>
        <v>0.15317035720131456</v>
      </c>
      <c r="L189" s="22">
        <f t="shared" si="8"/>
        <v>0.64738678484740575</v>
      </c>
      <c r="M189" s="22">
        <f t="shared" si="8"/>
        <v>0.56535708567068332</v>
      </c>
      <c r="N189" s="22">
        <f t="shared" si="8"/>
        <v>-6.1298295422378413E-3</v>
      </c>
      <c r="O189" s="22">
        <f>(O188/N188)-1</f>
        <v>0</v>
      </c>
      <c r="P189" s="22"/>
      <c r="Q189" s="22">
        <f>(Q188/P188)-1</f>
        <v>-0.47005739314302974</v>
      </c>
      <c r="R189" s="22">
        <f>(R188/Q188)-1</f>
        <v>3.9399714998218736</v>
      </c>
      <c r="S189" s="22">
        <f>(S188/R188)-1</f>
        <v>-0.54695368934722777</v>
      </c>
    </row>
    <row r="190" spans="1:19" ht="16" x14ac:dyDescent="0.2">
      <c r="A190" s="23" t="s">
        <v>200</v>
      </c>
      <c r="B190" s="24">
        <f t="shared" ref="B190:S190" si="9">B188/B2</f>
        <v>0.16063169105963226</v>
      </c>
      <c r="C190" s="24">
        <f t="shared" si="9"/>
        <v>0.19444578231123219</v>
      </c>
      <c r="D190" s="24">
        <f t="shared" si="9"/>
        <v>-8.3144518370849765E-3</v>
      </c>
      <c r="E190" s="24">
        <f t="shared" si="9"/>
        <v>0.14805558024184157</v>
      </c>
      <c r="F190" s="24">
        <f t="shared" si="9"/>
        <v>0.17221833398919273</v>
      </c>
      <c r="G190" s="24">
        <f t="shared" si="9"/>
        <v>0.13694941381167078</v>
      </c>
      <c r="H190" s="24">
        <f t="shared" si="9"/>
        <v>0.23475634072546531</v>
      </c>
      <c r="I190" s="24">
        <f t="shared" si="9"/>
        <v>0.13986127502152912</v>
      </c>
      <c r="J190" s="24">
        <f t="shared" si="9"/>
        <v>0.14044261460941637</v>
      </c>
      <c r="K190" s="24">
        <f t="shared" si="9"/>
        <v>0.14993932896653628</v>
      </c>
      <c r="L190" s="24">
        <f t="shared" si="9"/>
        <v>0.20233781700427594</v>
      </c>
      <c r="M190" s="24">
        <f t="shared" si="9"/>
        <v>0.24359347954438276</v>
      </c>
      <c r="N190" s="24">
        <f t="shared" si="9"/>
        <v>0.21903865029184513</v>
      </c>
      <c r="O190" s="25">
        <f t="shared" si="9"/>
        <v>0.21903865029184513</v>
      </c>
      <c r="P190" s="24">
        <f t="shared" si="9"/>
        <v>0.17786991309331388</v>
      </c>
      <c r="Q190" s="24">
        <f t="shared" si="9"/>
        <v>8.8019115230724851E-2</v>
      </c>
      <c r="R190" s="24">
        <f t="shared" si="9"/>
        <v>0.40710743753125517</v>
      </c>
      <c r="S190" s="24">
        <f t="shared" si="9"/>
        <v>0.18892010854147642</v>
      </c>
    </row>
    <row r="191" spans="1:19" ht="16" x14ac:dyDescent="0.2">
      <c r="A191" s="3" t="s">
        <v>187</v>
      </c>
      <c r="B191" s="4">
        <v>533452000</v>
      </c>
      <c r="C191" s="4">
        <v>242295000</v>
      </c>
      <c r="D191" s="4">
        <v>-105355000</v>
      </c>
      <c r="E191" s="4">
        <v>95491000</v>
      </c>
      <c r="F191" s="4">
        <v>536600000</v>
      </c>
      <c r="G191" s="4">
        <v>153211000</v>
      </c>
      <c r="H191" s="4">
        <v>313645000</v>
      </c>
      <c r="I191" s="4">
        <v>13797000</v>
      </c>
      <c r="J191" s="4">
        <v>290379000</v>
      </c>
      <c r="K191" s="4">
        <v>315612000</v>
      </c>
      <c r="L191" s="4">
        <v>529307000</v>
      </c>
      <c r="M191" s="4">
        <v>426279000</v>
      </c>
      <c r="N191" s="4">
        <v>892040000</v>
      </c>
      <c r="O191" s="5">
        <v>904483000</v>
      </c>
      <c r="P191" s="4">
        <v>159082000</v>
      </c>
      <c r="Q191" s="4">
        <v>100362000</v>
      </c>
      <c r="R191" s="4">
        <v>420156000</v>
      </c>
      <c r="S191" s="4">
        <v>224883000</v>
      </c>
    </row>
    <row r="192" spans="1:19" ht="16" x14ac:dyDescent="0.2">
      <c r="A192" s="3" t="s">
        <v>188</v>
      </c>
      <c r="B192" s="6">
        <v>0.23</v>
      </c>
      <c r="C192" s="6">
        <v>0.34</v>
      </c>
      <c r="D192" s="6">
        <v>-0.03</v>
      </c>
      <c r="E192" s="6">
        <v>0.33</v>
      </c>
      <c r="F192" s="6">
        <v>0.37</v>
      </c>
      <c r="G192" s="6">
        <v>0.35</v>
      </c>
      <c r="H192" s="6">
        <v>0.7</v>
      </c>
      <c r="I192" s="6">
        <v>0.51</v>
      </c>
      <c r="J192" s="6">
        <v>0.59</v>
      </c>
      <c r="K192" s="6">
        <v>0.67</v>
      </c>
      <c r="L192" s="6">
        <v>1.1200000000000001</v>
      </c>
      <c r="M192" s="6">
        <v>1.77</v>
      </c>
      <c r="N192" s="6">
        <v>0.89</v>
      </c>
      <c r="O192" s="7">
        <v>0.89</v>
      </c>
      <c r="P192" s="6">
        <v>0.17</v>
      </c>
      <c r="Q192" s="6">
        <v>0.09</v>
      </c>
      <c r="R192" s="6">
        <v>0.44</v>
      </c>
      <c r="S192" s="6">
        <v>0.2</v>
      </c>
    </row>
    <row r="193" spans="1:19" ht="16" x14ac:dyDescent="0.2">
      <c r="A193" s="3" t="s">
        <v>189</v>
      </c>
      <c r="B193" s="6">
        <v>9.57</v>
      </c>
      <c r="C193" s="6">
        <v>10.88</v>
      </c>
      <c r="D193" s="6">
        <v>10.199999999999999</v>
      </c>
      <c r="E193" s="6">
        <v>12.22</v>
      </c>
      <c r="F193" s="6">
        <v>13.76</v>
      </c>
      <c r="G193" s="6">
        <v>12.17</v>
      </c>
      <c r="H193" s="6">
        <v>11.24</v>
      </c>
      <c r="I193" s="6">
        <v>16.690000000000001</v>
      </c>
      <c r="J193" s="6">
        <v>18.25</v>
      </c>
      <c r="K193" s="6">
        <v>14.63</v>
      </c>
      <c r="L193" s="6">
        <v>24.3</v>
      </c>
      <c r="M193" s="6">
        <v>20.399999999999999</v>
      </c>
      <c r="N193" s="6">
        <v>45.43</v>
      </c>
      <c r="O193" s="7">
        <v>45.43</v>
      </c>
      <c r="P193" s="6">
        <v>36.71</v>
      </c>
      <c r="Q193" s="6">
        <v>40.39</v>
      </c>
      <c r="R193" s="6">
        <v>45.81</v>
      </c>
      <c r="S193" s="6">
        <v>49.45</v>
      </c>
    </row>
    <row r="194" spans="1:19" ht="16" x14ac:dyDescent="0.2">
      <c r="A194" s="3" t="s">
        <v>190</v>
      </c>
      <c r="B194" s="6">
        <v>1.46</v>
      </c>
      <c r="C194" s="6">
        <v>1.26</v>
      </c>
      <c r="D194" s="6">
        <v>1.1100000000000001</v>
      </c>
      <c r="E194" s="6">
        <v>1.47</v>
      </c>
      <c r="F194" s="6">
        <v>1.21</v>
      </c>
      <c r="G194" s="6">
        <v>1.23</v>
      </c>
      <c r="H194" s="6">
        <v>1.25</v>
      </c>
      <c r="I194" s="6">
        <v>1.28</v>
      </c>
      <c r="J194" s="6">
        <v>1.0900000000000001</v>
      </c>
      <c r="K194" s="6">
        <v>1.31</v>
      </c>
      <c r="L194" s="6">
        <v>1.06</v>
      </c>
      <c r="M194" s="6">
        <v>1.08</v>
      </c>
      <c r="N194" s="6">
        <v>1.1000000000000001</v>
      </c>
      <c r="O194" s="7">
        <v>1.1000000000000001</v>
      </c>
      <c r="P194" s="6">
        <v>1.27</v>
      </c>
      <c r="Q194" s="6">
        <v>0.64</v>
      </c>
      <c r="R194" s="6">
        <v>1.44</v>
      </c>
      <c r="S194" s="6">
        <v>1.03</v>
      </c>
    </row>
    <row r="196" spans="1:19" ht="16" x14ac:dyDescent="0.2">
      <c r="A196" s="8"/>
    </row>
  </sheetData>
  <pageMargins left="0.7" right="0.7" top="0.75" bottom="0.75" header="0.3" footer="0.3"/>
  <ignoredErrors>
    <ignoredError sqref="B1:S1 A4:S7 A15:S16 A19:S19 A191:S195 A2:S2 A9:S11 A13 A37:S128 A130:S142 A144:S171 A22:S33 A20:M20 P20:S20 A21:M21 P21:S2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36F6-5C89-C146-92E9-1D676960BAC7}">
  <dimension ref="A1:R110"/>
  <sheetViews>
    <sheetView tabSelected="1" workbookViewId="0">
      <selection activeCell="F24" sqref="F24"/>
    </sheetView>
  </sheetViews>
  <sheetFormatPr baseColWidth="10" defaultRowHeight="15" x14ac:dyDescent="0.2"/>
  <cols>
    <col min="1" max="18" width="18.83203125" customWidth="1"/>
  </cols>
  <sheetData>
    <row r="1" spans="1:18" s="114" customFormat="1" ht="22" customHeight="1" x14ac:dyDescent="0.2">
      <c r="A1" s="113" t="e" vm="1">
        <v>#VALUE!</v>
      </c>
      <c r="B1" s="113"/>
      <c r="C1" s="113"/>
      <c r="D1" s="113"/>
      <c r="E1" s="113"/>
      <c r="F1" s="113"/>
      <c r="G1" s="113"/>
      <c r="H1" s="113"/>
      <c r="I1" s="113"/>
      <c r="J1" s="113"/>
      <c r="K1" s="113"/>
      <c r="L1" s="113"/>
      <c r="M1" s="113"/>
      <c r="N1" s="113"/>
      <c r="O1" s="113"/>
      <c r="P1" s="113"/>
    </row>
    <row r="2" spans="1:18" s="114" customFormat="1" ht="22" customHeight="1" thickBot="1" x14ac:dyDescent="0.25">
      <c r="A2" s="113"/>
      <c r="B2" s="113"/>
      <c r="C2" s="113"/>
      <c r="D2" s="113"/>
      <c r="E2" s="113"/>
      <c r="F2" s="113"/>
      <c r="G2" s="113"/>
      <c r="H2" s="113"/>
      <c r="I2" s="113"/>
      <c r="J2" s="113"/>
      <c r="K2" s="113"/>
      <c r="L2" s="113"/>
      <c r="M2" s="113"/>
      <c r="N2" s="113"/>
      <c r="O2" s="113"/>
      <c r="P2" s="113"/>
    </row>
    <row r="3" spans="1:18" ht="22" customHeight="1" x14ac:dyDescent="0.2">
      <c r="A3" s="60" cm="1">
        <f t="array" ref="A3">_FV(A1,"Market cap",TRUE)</f>
        <v>45505366046</v>
      </c>
      <c r="B3" s="61" t="s">
        <v>201</v>
      </c>
      <c r="C3" s="92">
        <f>Financials!O8*0.01</f>
        <v>0.44890000000000002</v>
      </c>
      <c r="D3" s="61" t="s">
        <v>202</v>
      </c>
      <c r="E3" s="92">
        <f>SUM(C11:E11)/3</f>
        <v>0.20876675849772716</v>
      </c>
      <c r="F3" s="62" t="s">
        <v>203</v>
      </c>
      <c r="G3" s="63">
        <f>AVERAGE(Financials!J129:O129)</f>
        <v>4.3766314922118466E-3</v>
      </c>
      <c r="H3" s="62" t="s">
        <v>204</v>
      </c>
      <c r="I3" s="96">
        <f>J15*(1+I7)/(I6-I7)</f>
        <v>23892092697.989071</v>
      </c>
      <c r="J3" s="64" t="s">
        <v>205</v>
      </c>
      <c r="K3" s="101">
        <f>(Financials!O172*-1)/Model!A3</f>
        <v>0</v>
      </c>
      <c r="L3" s="65" t="s">
        <v>212</v>
      </c>
      <c r="M3" s="34"/>
      <c r="N3" s="115" t="s">
        <v>206</v>
      </c>
      <c r="O3" s="116"/>
      <c r="P3" s="34"/>
      <c r="Q3" s="34"/>
      <c r="R3" s="34"/>
    </row>
    <row r="4" spans="1:18" ht="22" customHeight="1" x14ac:dyDescent="0.2">
      <c r="A4" s="66">
        <f>Financials!O56-Financials!O96-Financials!O105</f>
        <v>2243531000</v>
      </c>
      <c r="B4" s="67" t="s">
        <v>207</v>
      </c>
      <c r="C4" s="93">
        <f>Financials!O17*0.01</f>
        <v>0.38420000000000004</v>
      </c>
      <c r="D4" s="67" t="s">
        <v>208</v>
      </c>
      <c r="E4" s="93">
        <f>SUM(C13:E13)/3</f>
        <v>0.21249591708489554</v>
      </c>
      <c r="F4" s="68" t="s">
        <v>209</v>
      </c>
      <c r="G4" s="69">
        <f>A5*(1+(5*G3))</f>
        <v>981244294.92525327</v>
      </c>
      <c r="H4" s="68" t="s">
        <v>210</v>
      </c>
      <c r="I4" s="97">
        <f>NPV(I6,F15,G15,H15,I15,(J15+I3))</f>
        <v>20084267077.103069</v>
      </c>
      <c r="J4" s="68" t="s">
        <v>211</v>
      </c>
      <c r="K4" s="98" cm="1">
        <f t="array" ref="K4">_FV(A1,"Change (%)",TRUE)</f>
        <v>-6.0819999999999997E-3</v>
      </c>
      <c r="L4" s="70" t="s">
        <v>250</v>
      </c>
      <c r="M4" s="34"/>
      <c r="N4" s="117" t="s">
        <v>213</v>
      </c>
      <c r="O4" s="118"/>
      <c r="P4" s="34"/>
      <c r="Q4" s="34"/>
      <c r="R4" s="34"/>
    </row>
    <row r="5" spans="1:18" ht="22" customHeight="1" x14ac:dyDescent="0.2">
      <c r="A5" s="66" cm="1">
        <f t="array" ref="A5">_FV(A1,"Shares outstanding",TRUE)</f>
        <v>960231400</v>
      </c>
      <c r="B5" s="67" t="s">
        <v>214</v>
      </c>
      <c r="C5" s="93">
        <f>F14</f>
        <v>0.33181818181818185</v>
      </c>
      <c r="D5" s="71" t="s">
        <v>215</v>
      </c>
      <c r="E5" s="93">
        <f>SUM(C16:E16)/3</f>
        <v>0.40220468032528373</v>
      </c>
      <c r="F5" s="68" t="s">
        <v>216</v>
      </c>
      <c r="G5" s="69">
        <f>Financials!O56</f>
        <v>2363984000</v>
      </c>
      <c r="H5" s="68" t="s">
        <v>217</v>
      </c>
      <c r="I5" s="97">
        <f>I4+G5-G6</f>
        <v>22327798077.103069</v>
      </c>
      <c r="J5" s="68" t="s">
        <v>218</v>
      </c>
      <c r="K5" s="102" cm="1">
        <f t="array" ref="K5">_FV(A1,"Price")</f>
        <v>47.39</v>
      </c>
      <c r="L5" s="72" t="s">
        <v>219</v>
      </c>
      <c r="M5" s="34"/>
      <c r="N5" s="81" t="s">
        <v>220</v>
      </c>
      <c r="O5" s="82">
        <f>Financials!O21</f>
        <v>16688000</v>
      </c>
      <c r="P5" s="34"/>
      <c r="Q5" s="34"/>
      <c r="R5" s="34"/>
    </row>
    <row r="6" spans="1:18" ht="22" customHeight="1" x14ac:dyDescent="0.2">
      <c r="A6" s="73">
        <f>O20/F10</f>
        <v>10.886451207177034</v>
      </c>
      <c r="B6" s="67" t="s">
        <v>221</v>
      </c>
      <c r="C6" s="93">
        <f>F17</f>
        <v>0.23133971291866029</v>
      </c>
      <c r="D6" s="71" t="s">
        <v>200</v>
      </c>
      <c r="E6" s="93">
        <f>Financials!O33/Financials!O126</f>
        <v>0.20672290661785336</v>
      </c>
      <c r="F6" s="67" t="s">
        <v>222</v>
      </c>
      <c r="G6" s="69">
        <f>Financials!O96+Financials!O105</f>
        <v>120453000</v>
      </c>
      <c r="H6" s="68" t="s">
        <v>223</v>
      </c>
      <c r="I6" s="100">
        <f>N25</f>
        <v>9.3641957016098204E-2</v>
      </c>
      <c r="J6" s="68" t="s">
        <v>224</v>
      </c>
      <c r="K6" s="103">
        <f>I5/G4</f>
        <v>22.754576197361637</v>
      </c>
      <c r="L6" s="74" t="s">
        <v>225</v>
      </c>
      <c r="M6" s="34"/>
      <c r="N6" s="81" t="s">
        <v>226</v>
      </c>
      <c r="O6" s="82">
        <f>Financials!O96</f>
        <v>21468000</v>
      </c>
      <c r="P6" s="34"/>
      <c r="Q6" s="34"/>
      <c r="R6" s="34"/>
    </row>
    <row r="7" spans="1:18" ht="22" customHeight="1" thickBot="1" x14ac:dyDescent="0.25">
      <c r="A7" s="75">
        <f>O20/F12</f>
        <v>32.808483090122564</v>
      </c>
      <c r="B7" s="76" t="s">
        <v>227</v>
      </c>
      <c r="C7" s="94">
        <f>F15/A3</f>
        <v>2.1250241103928025E-2</v>
      </c>
      <c r="D7" s="76" t="s">
        <v>228</v>
      </c>
      <c r="E7" s="95">
        <f>(Financials!O16*(1-0.25))/(Financials!O126+Financials!O105+Financials!O96)</f>
        <v>0.18253868396188341</v>
      </c>
      <c r="F7" s="76" t="s">
        <v>196</v>
      </c>
      <c r="G7" s="77">
        <f>(Financials!O96+Financials!O105)/Financials!O126</f>
        <v>2.0117612869607043E-2</v>
      </c>
      <c r="H7" s="78" t="s">
        <v>229</v>
      </c>
      <c r="I7" s="99">
        <v>2.5000000000000001E-2</v>
      </c>
      <c r="J7" s="79" t="s">
        <v>230</v>
      </c>
      <c r="K7" s="104">
        <f>K6/K5-1</f>
        <v>-0.51984435118460359</v>
      </c>
      <c r="L7" s="80" t="s">
        <v>231</v>
      </c>
      <c r="M7" s="34"/>
      <c r="N7" s="81" t="s">
        <v>232</v>
      </c>
      <c r="O7" s="82">
        <f>Financials!O105</f>
        <v>98985000</v>
      </c>
      <c r="P7" s="34"/>
      <c r="Q7" s="34"/>
      <c r="R7" s="34"/>
    </row>
    <row r="8" spans="1:18" ht="22" customHeight="1" x14ac:dyDescent="0.2">
      <c r="A8" s="35"/>
      <c r="B8" s="34"/>
      <c r="C8" s="34"/>
      <c r="D8" s="34"/>
      <c r="E8" s="34"/>
      <c r="F8" s="34"/>
      <c r="G8" s="34"/>
      <c r="H8" s="34"/>
      <c r="I8" s="34"/>
      <c r="J8" s="34"/>
      <c r="K8" s="34"/>
      <c r="L8" s="34"/>
      <c r="M8" s="34"/>
      <c r="N8" s="83" t="s">
        <v>213</v>
      </c>
      <c r="O8" s="84">
        <f>O5/(O6+O7)</f>
        <v>0.13854366433380655</v>
      </c>
      <c r="P8" s="34"/>
      <c r="Q8" s="34"/>
      <c r="R8" s="34"/>
    </row>
    <row r="9" spans="1:18" ht="22" customHeight="1" x14ac:dyDescent="0.2">
      <c r="A9" s="43"/>
      <c r="B9" s="44">
        <v>2020</v>
      </c>
      <c r="C9" s="44">
        <v>2021</v>
      </c>
      <c r="D9" s="44">
        <v>2022</v>
      </c>
      <c r="E9" s="45">
        <v>2023</v>
      </c>
      <c r="F9" s="105">
        <v>2024</v>
      </c>
      <c r="G9" s="106">
        <v>2025</v>
      </c>
      <c r="H9" s="106">
        <v>2026</v>
      </c>
      <c r="I9" s="106">
        <v>2027</v>
      </c>
      <c r="J9" s="107">
        <v>2028</v>
      </c>
      <c r="K9" s="108"/>
      <c r="L9" s="36"/>
      <c r="M9" s="36"/>
      <c r="N9" s="81" t="s">
        <v>233</v>
      </c>
      <c r="O9" s="82">
        <f>Financials!O25</f>
        <v>316587000</v>
      </c>
      <c r="P9" s="34"/>
      <c r="Q9" s="34"/>
      <c r="R9" s="34"/>
    </row>
    <row r="10" spans="1:18" ht="22" customHeight="1" x14ac:dyDescent="0.2">
      <c r="A10" s="46" t="s">
        <v>234</v>
      </c>
      <c r="B10" s="47">
        <v>2205583000</v>
      </c>
      <c r="C10" s="47">
        <v>2692511000</v>
      </c>
      <c r="D10" s="47">
        <v>3500921000</v>
      </c>
      <c r="E10" s="48">
        <v>3869518000</v>
      </c>
      <c r="F10" s="47">
        <v>4180000000</v>
      </c>
      <c r="G10" s="47">
        <v>4580000000</v>
      </c>
      <c r="H10" s="47">
        <v>5006000000</v>
      </c>
      <c r="I10" s="47">
        <v>5927000000</v>
      </c>
      <c r="J10" s="48">
        <v>6423000000</v>
      </c>
      <c r="K10" s="49" t="s">
        <v>235</v>
      </c>
      <c r="L10" s="36"/>
      <c r="N10" s="81" t="s">
        <v>236</v>
      </c>
      <c r="O10" s="82">
        <f>Financials!O24</f>
        <v>1554328000</v>
      </c>
      <c r="P10" s="34"/>
      <c r="Q10" s="34"/>
      <c r="R10" s="34"/>
    </row>
    <row r="11" spans="1:18" ht="22" customHeight="1" x14ac:dyDescent="0.2">
      <c r="A11" s="50"/>
      <c r="B11" s="37"/>
      <c r="C11" s="37">
        <f t="shared" ref="C11:J11" si="0">(C10/B10)-1</f>
        <v>0.22077065338280177</v>
      </c>
      <c r="D11" s="37">
        <f t="shared" si="0"/>
        <v>0.30024389872501911</v>
      </c>
      <c r="E11" s="37">
        <f t="shared" si="0"/>
        <v>0.10528572338536057</v>
      </c>
      <c r="F11" s="38">
        <f t="shared" si="0"/>
        <v>8.0237900431009646E-2</v>
      </c>
      <c r="G11" s="37">
        <f t="shared" si="0"/>
        <v>9.5693779904306275E-2</v>
      </c>
      <c r="H11" s="37">
        <f t="shared" si="0"/>
        <v>9.3013100436681206E-2</v>
      </c>
      <c r="I11" s="37">
        <f t="shared" si="0"/>
        <v>0.18397922493008401</v>
      </c>
      <c r="J11" s="51">
        <f t="shared" si="0"/>
        <v>8.3684832124177433E-2</v>
      </c>
      <c r="K11" s="51">
        <f>SUM(F11:J11)/5</f>
        <v>0.10732176756525172</v>
      </c>
      <c r="L11" s="36"/>
      <c r="M11" s="36"/>
      <c r="N11" s="81" t="s">
        <v>237</v>
      </c>
      <c r="O11" s="85">
        <f>O9/O10</f>
        <v>0.20368094765068892</v>
      </c>
      <c r="P11" s="34"/>
      <c r="Q11" s="34"/>
      <c r="R11" s="34"/>
    </row>
    <row r="12" spans="1:18" ht="22" customHeight="1" x14ac:dyDescent="0.2">
      <c r="A12" s="46" t="s">
        <v>142</v>
      </c>
      <c r="B12" s="47">
        <v>699907000</v>
      </c>
      <c r="C12" s="47">
        <v>936495000</v>
      </c>
      <c r="D12" s="47">
        <v>1090130000</v>
      </c>
      <c r="E12" s="47">
        <v>1237741000</v>
      </c>
      <c r="F12" s="52">
        <v>1387000000</v>
      </c>
      <c r="G12" s="47">
        <v>1549000000</v>
      </c>
      <c r="H12" s="47">
        <v>1687000000</v>
      </c>
      <c r="I12" s="47">
        <v>1801000000</v>
      </c>
      <c r="J12" s="48">
        <v>2000000000</v>
      </c>
      <c r="K12" s="53" t="s">
        <v>238</v>
      </c>
      <c r="L12" s="36"/>
      <c r="M12" s="36"/>
      <c r="N12" s="81" t="s">
        <v>239</v>
      </c>
      <c r="O12" s="85">
        <f>O8*(1-O11)</f>
        <v>0.11032495949129788</v>
      </c>
      <c r="P12" s="34"/>
      <c r="Q12" s="34"/>
      <c r="R12" s="34"/>
    </row>
    <row r="13" spans="1:18" ht="22" customHeight="1" x14ac:dyDescent="0.2">
      <c r="A13" s="50"/>
      <c r="B13" s="37"/>
      <c r="C13" s="37">
        <f t="shared" ref="C13:J13" si="1">(C12/B12)-1</f>
        <v>0.33802776654612687</v>
      </c>
      <c r="D13" s="37">
        <f t="shared" si="1"/>
        <v>0.16405319836197729</v>
      </c>
      <c r="E13" s="37">
        <f t="shared" si="1"/>
        <v>0.13540678634658243</v>
      </c>
      <c r="F13" s="38">
        <f t="shared" si="1"/>
        <v>0.12058984876480627</v>
      </c>
      <c r="G13" s="37">
        <f t="shared" si="1"/>
        <v>0.11679884643114646</v>
      </c>
      <c r="H13" s="37">
        <f t="shared" si="1"/>
        <v>8.9089735313105267E-2</v>
      </c>
      <c r="I13" s="37">
        <f t="shared" si="1"/>
        <v>6.7575577949021914E-2</v>
      </c>
      <c r="J13" s="51">
        <f t="shared" si="1"/>
        <v>0.1104941699056079</v>
      </c>
      <c r="K13" s="51">
        <f>SUM(F13:J13)/5</f>
        <v>0.10090963567273756</v>
      </c>
      <c r="L13" s="36"/>
      <c r="M13" s="36"/>
      <c r="N13" s="117" t="s">
        <v>240</v>
      </c>
      <c r="O13" s="118"/>
      <c r="P13" s="34"/>
      <c r="Q13" s="34"/>
      <c r="R13" s="34"/>
    </row>
    <row r="14" spans="1:18" ht="22" customHeight="1" x14ac:dyDescent="0.2">
      <c r="A14" s="39" t="s">
        <v>251</v>
      </c>
      <c r="B14" s="40">
        <f>B12/B10</f>
        <v>0.31733423770495151</v>
      </c>
      <c r="C14" s="40">
        <f t="shared" ref="C14:J14" si="2">C12/C10</f>
        <v>0.34781473501872417</v>
      </c>
      <c r="D14" s="40">
        <f t="shared" si="2"/>
        <v>0.31138377586926413</v>
      </c>
      <c r="E14" s="40">
        <f t="shared" si="2"/>
        <v>0.31986955481276996</v>
      </c>
      <c r="F14" s="41">
        <f t="shared" si="2"/>
        <v>0.33181818181818185</v>
      </c>
      <c r="G14" s="40">
        <f t="shared" si="2"/>
        <v>0.33820960698689956</v>
      </c>
      <c r="H14" s="40">
        <f t="shared" si="2"/>
        <v>0.33699560527367162</v>
      </c>
      <c r="I14" s="40">
        <f t="shared" si="2"/>
        <v>0.30386367470895898</v>
      </c>
      <c r="J14" s="42">
        <f t="shared" si="2"/>
        <v>0.31138097462245057</v>
      </c>
      <c r="K14" s="42"/>
      <c r="L14" s="36"/>
      <c r="M14" s="36"/>
      <c r="N14" s="81" t="s">
        <v>242</v>
      </c>
      <c r="O14" s="85">
        <f>'[1]US Treasury Bonds'!$C$8</f>
        <v>4.1210000000000004E-2</v>
      </c>
      <c r="P14" s="34"/>
      <c r="Q14" s="34"/>
      <c r="R14" s="34"/>
    </row>
    <row r="15" spans="1:18" ht="22" customHeight="1" x14ac:dyDescent="0.2">
      <c r="A15" s="46" t="s">
        <v>185</v>
      </c>
      <c r="B15" s="47">
        <v>330703635</v>
      </c>
      <c r="C15" s="47">
        <v>544796798</v>
      </c>
      <c r="D15" s="47">
        <v>852801528</v>
      </c>
      <c r="E15" s="47">
        <v>847574000</v>
      </c>
      <c r="F15" s="52">
        <v>967000000</v>
      </c>
      <c r="G15" s="47">
        <v>1122000000</v>
      </c>
      <c r="H15" s="47">
        <v>1294000000</v>
      </c>
      <c r="I15" s="47">
        <v>1400000000</v>
      </c>
      <c r="J15" s="48">
        <v>1600000000</v>
      </c>
      <c r="K15" s="53" t="s">
        <v>241</v>
      </c>
      <c r="L15" s="36"/>
      <c r="M15" s="36"/>
      <c r="N15" s="81" t="s">
        <v>243</v>
      </c>
      <c r="O15" s="86" cm="1">
        <f t="array" ref="O15">_FV(A1,"Beta")</f>
        <v>1.2242999999999999</v>
      </c>
      <c r="P15" s="34"/>
      <c r="Q15" s="34"/>
      <c r="R15" s="34"/>
    </row>
    <row r="16" spans="1:18" ht="22" customHeight="1" x14ac:dyDescent="0.2">
      <c r="A16" s="54"/>
      <c r="B16" s="37"/>
      <c r="C16" s="37">
        <f t="shared" ref="C16:J16" si="3">(C15/B15)-1</f>
        <v>0.64738678484740575</v>
      </c>
      <c r="D16" s="37">
        <f t="shared" si="3"/>
        <v>0.56535708567068332</v>
      </c>
      <c r="E16" s="37">
        <f t="shared" si="3"/>
        <v>-6.1298295422378413E-3</v>
      </c>
      <c r="F16" s="38">
        <f t="shared" si="3"/>
        <v>0.14090333115456577</v>
      </c>
      <c r="G16" s="37">
        <f t="shared" si="3"/>
        <v>0.16028955532574973</v>
      </c>
      <c r="H16" s="37">
        <f t="shared" si="3"/>
        <v>0.15329768270944744</v>
      </c>
      <c r="I16" s="37">
        <f t="shared" si="3"/>
        <v>8.1916537867078754E-2</v>
      </c>
      <c r="J16" s="51">
        <f t="shared" si="3"/>
        <v>0.14285714285714279</v>
      </c>
      <c r="K16" s="51">
        <f>SUM(F16:J16)/5</f>
        <v>0.1358528499827969</v>
      </c>
      <c r="L16" s="36"/>
      <c r="M16" s="36"/>
      <c r="N16" s="81" t="s">
        <v>244</v>
      </c>
      <c r="O16" s="85">
        <v>8.4000000000000005E-2</v>
      </c>
      <c r="P16" s="34"/>
      <c r="Q16" s="34"/>
      <c r="R16" s="34"/>
    </row>
    <row r="17" spans="1:18" ht="22" customHeight="1" x14ac:dyDescent="0.2">
      <c r="A17" s="39" t="s">
        <v>200</v>
      </c>
      <c r="B17" s="40">
        <f>B15/B10</f>
        <v>0.14993932896653628</v>
      </c>
      <c r="C17" s="40">
        <f t="shared" ref="C17:J17" si="4">C15/C10</f>
        <v>0.20233781700427594</v>
      </c>
      <c r="D17" s="40">
        <f t="shared" si="4"/>
        <v>0.24359347954438276</v>
      </c>
      <c r="E17" s="42">
        <f t="shared" si="4"/>
        <v>0.21903865029184513</v>
      </c>
      <c r="F17" s="40">
        <f t="shared" si="4"/>
        <v>0.23133971291866029</v>
      </c>
      <c r="G17" s="40">
        <f t="shared" si="4"/>
        <v>0.24497816593886462</v>
      </c>
      <c r="H17" s="40">
        <f t="shared" si="4"/>
        <v>0.25848981222532963</v>
      </c>
      <c r="I17" s="40">
        <f t="shared" si="4"/>
        <v>0.23620718744727517</v>
      </c>
      <c r="J17" s="42">
        <f t="shared" si="4"/>
        <v>0.24910477969796047</v>
      </c>
      <c r="K17" s="42"/>
      <c r="L17" s="36"/>
      <c r="M17" s="36"/>
      <c r="N17" s="87" t="s">
        <v>240</v>
      </c>
      <c r="O17" s="88">
        <f>(O14)+((O15)*(O16-O14))</f>
        <v>9.359779700000001E-2</v>
      </c>
      <c r="P17" s="34"/>
      <c r="Q17" s="34"/>
      <c r="R17" s="34"/>
    </row>
    <row r="18" spans="1:18" ht="22" customHeight="1" x14ac:dyDescent="0.2">
      <c r="A18" s="55" t="s">
        <v>196</v>
      </c>
      <c r="B18" s="56">
        <v>0.20350188582136297</v>
      </c>
      <c r="C18" s="56">
        <v>0.21059121333639713</v>
      </c>
      <c r="D18" s="56">
        <v>0.21733026390326637</v>
      </c>
      <c r="E18" s="56">
        <v>0.18253868396188341</v>
      </c>
      <c r="F18" s="57"/>
      <c r="G18" s="56"/>
      <c r="H18" s="56"/>
      <c r="I18" s="56"/>
      <c r="J18" s="58"/>
      <c r="K18" s="59"/>
      <c r="L18" s="36"/>
      <c r="M18" s="36"/>
      <c r="N18" s="117" t="s">
        <v>245</v>
      </c>
      <c r="O18" s="118"/>
      <c r="P18" s="34"/>
      <c r="Q18" s="34"/>
      <c r="R18" s="34"/>
    </row>
    <row r="19" spans="1:18" ht="22" customHeight="1" x14ac:dyDescent="0.2">
      <c r="A19" s="36"/>
      <c r="B19" s="36"/>
      <c r="C19" s="36"/>
      <c r="D19" s="36"/>
      <c r="E19" s="36"/>
      <c r="F19" s="36"/>
      <c r="G19" s="36"/>
      <c r="H19" s="36"/>
      <c r="I19" s="36"/>
      <c r="J19" s="36"/>
      <c r="K19" s="36"/>
      <c r="L19" s="36"/>
      <c r="M19" s="36"/>
      <c r="N19" s="81" t="s">
        <v>223</v>
      </c>
      <c r="O19" s="89">
        <f>O6+O7</f>
        <v>120453000</v>
      </c>
      <c r="P19" s="34"/>
      <c r="Q19" s="34"/>
      <c r="R19" s="34"/>
    </row>
    <row r="20" spans="1:18" ht="22" customHeight="1" x14ac:dyDescent="0.2">
      <c r="A20" s="36"/>
      <c r="B20" s="36"/>
      <c r="C20" s="36"/>
      <c r="D20" s="36"/>
      <c r="E20" s="36"/>
      <c r="F20" s="36"/>
      <c r="G20" s="36"/>
      <c r="H20" s="36"/>
      <c r="I20" s="36"/>
      <c r="J20" s="36"/>
      <c r="K20" s="36"/>
      <c r="L20" s="36"/>
      <c r="M20" s="36"/>
      <c r="N20" s="81" t="s">
        <v>201</v>
      </c>
      <c r="O20" s="89" cm="1">
        <f t="array" ref="O20">_FV(A1,"Market cap",TRUE)</f>
        <v>45505366046</v>
      </c>
      <c r="P20" s="34"/>
      <c r="Q20" s="34"/>
      <c r="R20" s="34"/>
    </row>
    <row r="21" spans="1:18" ht="22" customHeight="1" x14ac:dyDescent="0.2">
      <c r="A21" s="120" t="str" cm="1">
        <f t="array" ref="A21">_FV(A1,"Industry")</f>
        <v>Software &amp; IT Services</v>
      </c>
      <c r="B21" s="120"/>
      <c r="C21" s="120"/>
      <c r="D21" s="121" cm="1">
        <f t="array" ref="D21">_FV(A1,"Year incorporated",TRUE)</f>
        <v>2012</v>
      </c>
      <c r="E21" s="121"/>
      <c r="F21" s="36"/>
      <c r="G21" s="36"/>
      <c r="H21" s="36"/>
      <c r="I21" s="36"/>
      <c r="J21" s="36"/>
      <c r="K21" s="36"/>
      <c r="M21" s="36"/>
      <c r="N21" s="81" t="s">
        <v>246</v>
      </c>
      <c r="O21" s="89">
        <f>O19+O20</f>
        <v>45625819046</v>
      </c>
      <c r="P21" s="34"/>
      <c r="Q21" s="34"/>
      <c r="R21" s="34"/>
    </row>
    <row r="22" spans="1:18" ht="22" customHeight="1" x14ac:dyDescent="0.2">
      <c r="A22" s="119" t="str" cm="1">
        <f t="array" ref="A22">_FV(A1,"Description")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B22" s="119"/>
      <c r="C22" s="119"/>
      <c r="D22" s="119"/>
      <c r="E22" s="119"/>
      <c r="F22" s="36"/>
      <c r="G22" s="36"/>
      <c r="H22" s="36"/>
      <c r="I22" s="36"/>
      <c r="J22" s="36"/>
      <c r="K22" s="36"/>
      <c r="L22" s="36"/>
      <c r="M22" s="36"/>
      <c r="N22" s="83" t="s">
        <v>247</v>
      </c>
      <c r="O22" s="90">
        <f>(O19/O21)</f>
        <v>2.6400183606251353E-3</v>
      </c>
      <c r="P22" s="34"/>
      <c r="Q22" s="34"/>
      <c r="R22" s="34"/>
    </row>
    <row r="23" spans="1:18" ht="22" customHeight="1" x14ac:dyDescent="0.2">
      <c r="A23" s="119"/>
      <c r="B23" s="119"/>
      <c r="C23" s="119"/>
      <c r="D23" s="119"/>
      <c r="E23" s="119"/>
      <c r="F23" s="36"/>
      <c r="G23" s="36"/>
      <c r="H23" s="36"/>
      <c r="I23" s="36"/>
      <c r="J23" s="36"/>
      <c r="K23" s="36"/>
      <c r="L23" s="36"/>
      <c r="M23" s="36"/>
      <c r="N23" s="87" t="s">
        <v>248</v>
      </c>
      <c r="O23" s="91">
        <f>O20/O21</f>
        <v>0.99735998163937489</v>
      </c>
      <c r="P23" s="34"/>
      <c r="Q23" s="34"/>
      <c r="R23" s="34"/>
    </row>
    <row r="24" spans="1:18" ht="22" customHeight="1" x14ac:dyDescent="0.2">
      <c r="A24" s="119"/>
      <c r="B24" s="119"/>
      <c r="C24" s="119"/>
      <c r="D24" s="119"/>
      <c r="E24" s="119"/>
      <c r="F24" s="36"/>
      <c r="G24" s="36"/>
      <c r="H24" s="36"/>
      <c r="I24" s="36"/>
      <c r="J24" s="36"/>
      <c r="K24" s="36"/>
      <c r="L24" s="36"/>
      <c r="M24" s="36"/>
      <c r="N24" s="109" t="s">
        <v>249</v>
      </c>
      <c r="O24" s="110"/>
      <c r="P24" s="34"/>
      <c r="Q24" s="34"/>
      <c r="R24" s="34"/>
    </row>
    <row r="25" spans="1:18" ht="22" customHeight="1" x14ac:dyDescent="0.2">
      <c r="A25" s="119"/>
      <c r="B25" s="119"/>
      <c r="C25" s="119"/>
      <c r="D25" s="119"/>
      <c r="E25" s="119"/>
      <c r="F25" s="36"/>
      <c r="G25" s="36"/>
      <c r="H25" s="36"/>
      <c r="I25" s="36"/>
      <c r="J25" s="36"/>
      <c r="K25" s="36"/>
      <c r="L25" s="36"/>
      <c r="M25" s="36"/>
      <c r="N25" s="111">
        <f>(O22*O12)+(O23*O17)</f>
        <v>9.3641957016098204E-2</v>
      </c>
      <c r="O25" s="112"/>
      <c r="P25" s="34"/>
      <c r="Q25" s="34"/>
      <c r="R25" s="34"/>
    </row>
    <row r="26" spans="1:18" ht="22" customHeight="1" x14ac:dyDescent="0.2">
      <c r="A26" s="119"/>
      <c r="B26" s="119"/>
      <c r="C26" s="119"/>
      <c r="D26" s="119"/>
      <c r="E26" s="119"/>
      <c r="F26" s="36"/>
      <c r="G26" s="36"/>
      <c r="H26" s="36"/>
      <c r="I26" s="36"/>
      <c r="J26" s="36"/>
      <c r="K26" s="36"/>
      <c r="L26" s="36"/>
      <c r="M26" s="36"/>
      <c r="N26" s="36"/>
      <c r="O26" s="34"/>
      <c r="P26" s="34"/>
      <c r="Q26" s="34"/>
      <c r="R26" s="34"/>
    </row>
    <row r="27" spans="1:18" ht="22" customHeight="1" x14ac:dyDescent="0.2">
      <c r="A27" s="119"/>
      <c r="B27" s="119"/>
      <c r="C27" s="119"/>
      <c r="D27" s="119"/>
      <c r="E27" s="119"/>
      <c r="F27" s="36"/>
      <c r="G27" s="36"/>
      <c r="H27" s="36"/>
      <c r="I27" s="36"/>
      <c r="J27" s="36"/>
      <c r="K27" s="36"/>
      <c r="L27" s="36"/>
      <c r="M27" s="36"/>
      <c r="N27" s="36"/>
      <c r="O27" s="34"/>
      <c r="P27" s="34"/>
      <c r="Q27" s="34"/>
      <c r="R27" s="34"/>
    </row>
    <row r="28" spans="1:18" ht="22" customHeight="1" x14ac:dyDescent="0.2">
      <c r="A28" s="119"/>
      <c r="B28" s="119"/>
      <c r="C28" s="119"/>
      <c r="D28" s="119"/>
      <c r="E28" s="119"/>
      <c r="F28" s="36"/>
      <c r="G28" s="36"/>
      <c r="H28" s="36"/>
      <c r="I28" s="36"/>
      <c r="J28" s="36"/>
      <c r="K28" s="36"/>
      <c r="L28" s="36"/>
      <c r="M28" s="36"/>
      <c r="N28" s="36"/>
      <c r="O28" s="34"/>
      <c r="P28" s="34"/>
      <c r="Q28" s="34"/>
      <c r="R28" s="34"/>
    </row>
    <row r="29" spans="1:18" ht="22" customHeight="1" x14ac:dyDescent="0.2">
      <c r="A29" s="119"/>
      <c r="B29" s="119"/>
      <c r="C29" s="119"/>
      <c r="D29" s="119"/>
      <c r="E29" s="119"/>
      <c r="F29" s="36"/>
      <c r="G29" s="36"/>
      <c r="H29" s="36"/>
      <c r="I29" s="36"/>
      <c r="J29" s="36"/>
      <c r="K29" s="36"/>
      <c r="L29" s="36"/>
      <c r="M29" s="36"/>
      <c r="N29" s="36"/>
      <c r="O29" s="34"/>
      <c r="P29" s="34"/>
      <c r="Q29" s="34"/>
      <c r="R29" s="34"/>
    </row>
    <row r="30" spans="1:18" ht="22" customHeight="1" x14ac:dyDescent="0.2">
      <c r="A30" s="119"/>
      <c r="B30" s="119"/>
      <c r="C30" s="119"/>
      <c r="D30" s="119"/>
      <c r="E30" s="119"/>
      <c r="F30" s="36"/>
      <c r="G30" s="36"/>
      <c r="H30" s="36"/>
      <c r="I30" s="36"/>
      <c r="J30" s="36"/>
      <c r="K30" s="36"/>
      <c r="L30" s="36"/>
      <c r="M30" s="36"/>
      <c r="N30" s="36"/>
      <c r="O30" s="34"/>
      <c r="P30" s="34"/>
      <c r="Q30" s="34"/>
      <c r="R30" s="34"/>
    </row>
    <row r="31" spans="1:18" x14ac:dyDescent="0.2">
      <c r="A31" s="34"/>
      <c r="B31" s="34"/>
      <c r="C31" s="34"/>
      <c r="D31" s="34"/>
      <c r="E31" s="34"/>
      <c r="F31" s="34"/>
      <c r="G31" s="34"/>
      <c r="H31" s="34"/>
      <c r="I31" s="34"/>
      <c r="J31" s="34"/>
      <c r="K31" s="34"/>
      <c r="L31" s="34"/>
      <c r="M31" s="34"/>
      <c r="N31" s="34"/>
      <c r="O31" s="34"/>
      <c r="P31" s="34"/>
      <c r="Q31" s="34"/>
      <c r="R31" s="34"/>
    </row>
    <row r="32" spans="1:18" x14ac:dyDescent="0.2">
      <c r="A32" s="34"/>
      <c r="B32" s="34"/>
      <c r="C32" s="34"/>
      <c r="D32" s="34"/>
      <c r="E32" s="34"/>
      <c r="F32" s="34"/>
      <c r="G32" s="34"/>
      <c r="H32" s="34"/>
      <c r="I32" s="34"/>
      <c r="J32" s="34"/>
      <c r="K32" s="34"/>
      <c r="L32" s="34"/>
      <c r="M32" s="34"/>
      <c r="N32" s="34"/>
      <c r="O32" s="34"/>
      <c r="P32" s="34"/>
      <c r="Q32" s="34"/>
      <c r="R32" s="34"/>
    </row>
    <row r="33" spans="1:18" x14ac:dyDescent="0.2">
      <c r="A33" s="36"/>
      <c r="B33" s="36"/>
      <c r="C33" s="36"/>
      <c r="D33" s="36"/>
      <c r="E33" s="36"/>
      <c r="F33" s="36"/>
      <c r="G33" s="36"/>
      <c r="H33" s="36"/>
      <c r="I33" s="36"/>
      <c r="J33" s="36"/>
      <c r="K33" s="36"/>
      <c r="L33" s="36"/>
      <c r="M33" s="36"/>
      <c r="N33" s="36"/>
      <c r="O33" s="36"/>
      <c r="P33" s="36"/>
      <c r="Q33" s="34"/>
      <c r="R33" s="34"/>
    </row>
    <row r="34" spans="1:18" x14ac:dyDescent="0.2">
      <c r="A34" s="36"/>
      <c r="B34" s="36"/>
      <c r="C34" s="36"/>
      <c r="D34" s="36"/>
      <c r="E34" s="36"/>
      <c r="F34" s="36"/>
      <c r="G34" s="36"/>
      <c r="H34" s="36"/>
      <c r="I34" s="36"/>
      <c r="J34" s="36"/>
      <c r="K34" s="36"/>
      <c r="L34" s="36"/>
      <c r="M34" s="36"/>
      <c r="N34" s="36"/>
      <c r="O34" s="36"/>
      <c r="P34" s="36"/>
      <c r="Q34" s="34"/>
      <c r="R34" s="34"/>
    </row>
    <row r="35" spans="1:18" x14ac:dyDescent="0.2">
      <c r="A35" s="36"/>
      <c r="B35" s="36"/>
      <c r="C35" s="36"/>
      <c r="D35" s="36"/>
      <c r="E35" s="36"/>
      <c r="F35" s="36"/>
      <c r="G35" s="36"/>
      <c r="H35" s="36"/>
      <c r="I35" s="36"/>
      <c r="J35" s="36"/>
      <c r="K35" s="36"/>
      <c r="L35" s="36"/>
      <c r="M35" s="36"/>
      <c r="N35" s="36"/>
      <c r="O35" s="36"/>
      <c r="P35" s="36"/>
      <c r="Q35" s="34"/>
      <c r="R35" s="34"/>
    </row>
    <row r="36" spans="1:18" x14ac:dyDescent="0.2">
      <c r="A36" s="36"/>
      <c r="B36" s="36"/>
      <c r="C36" s="36"/>
      <c r="D36" s="36"/>
      <c r="E36" s="36"/>
      <c r="F36" s="36"/>
      <c r="G36" s="36"/>
      <c r="H36" s="36"/>
      <c r="I36" s="36"/>
      <c r="J36" s="36"/>
      <c r="K36" s="36"/>
      <c r="L36" s="36"/>
      <c r="M36" s="36"/>
      <c r="N36" s="36"/>
      <c r="O36" s="36"/>
      <c r="P36" s="36"/>
      <c r="Q36" s="34"/>
      <c r="R36" s="34"/>
    </row>
    <row r="37" spans="1:18" x14ac:dyDescent="0.2">
      <c r="A37" s="36"/>
      <c r="B37" s="36"/>
      <c r="C37" s="36"/>
      <c r="D37" s="36"/>
      <c r="E37" s="36"/>
      <c r="F37" s="36"/>
      <c r="G37" s="36"/>
      <c r="H37" s="36"/>
      <c r="I37" s="36"/>
      <c r="J37" s="36"/>
      <c r="K37" s="36"/>
      <c r="L37" s="36"/>
      <c r="M37" s="36"/>
      <c r="N37" s="36"/>
      <c r="O37" s="36"/>
      <c r="P37" s="36"/>
      <c r="Q37" s="34"/>
      <c r="R37" s="34"/>
    </row>
    <row r="38" spans="1:18" x14ac:dyDescent="0.2">
      <c r="A38" s="36"/>
      <c r="B38" s="36"/>
      <c r="C38" s="36"/>
      <c r="D38" s="36"/>
      <c r="E38" s="36"/>
      <c r="F38" s="36"/>
      <c r="G38" s="36"/>
      <c r="H38" s="36"/>
      <c r="I38" s="36"/>
      <c r="J38" s="36"/>
      <c r="K38" s="36"/>
      <c r="L38" s="36"/>
      <c r="M38" s="36"/>
      <c r="N38" s="36"/>
      <c r="O38" s="36"/>
      <c r="P38" s="36"/>
      <c r="Q38" s="34"/>
      <c r="R38" s="34"/>
    </row>
    <row r="39" spans="1:18" x14ac:dyDescent="0.2">
      <c r="A39" s="36"/>
      <c r="B39" s="36"/>
      <c r="C39" s="36"/>
      <c r="D39" s="36"/>
      <c r="E39" s="36"/>
      <c r="F39" s="36"/>
      <c r="G39" s="36"/>
      <c r="H39" s="36"/>
      <c r="I39" s="36"/>
      <c r="J39" s="36"/>
      <c r="K39" s="36"/>
      <c r="L39" s="36"/>
      <c r="M39" s="36"/>
      <c r="N39" s="36"/>
      <c r="O39" s="36"/>
      <c r="P39" s="36"/>
      <c r="Q39" s="34"/>
      <c r="R39" s="34"/>
    </row>
    <row r="40" spans="1:18" x14ac:dyDescent="0.2">
      <c r="A40" s="36"/>
      <c r="B40" s="36"/>
      <c r="C40" s="36"/>
      <c r="D40" s="36"/>
      <c r="E40" s="36"/>
      <c r="F40" s="36"/>
      <c r="G40" s="36"/>
      <c r="H40" s="36"/>
      <c r="I40" s="36"/>
      <c r="J40" s="36"/>
      <c r="K40" s="36"/>
      <c r="L40" s="36"/>
      <c r="M40" s="36"/>
      <c r="N40" s="36"/>
      <c r="O40" s="36"/>
      <c r="P40" s="36"/>
      <c r="Q40" s="34"/>
      <c r="R40" s="34"/>
    </row>
    <row r="41" spans="1:18" x14ac:dyDescent="0.2">
      <c r="A41" s="36"/>
      <c r="B41" s="36"/>
      <c r="C41" s="36"/>
      <c r="D41" s="36"/>
      <c r="E41" s="36"/>
      <c r="F41" s="36"/>
      <c r="G41" s="36"/>
      <c r="H41" s="36"/>
      <c r="I41" s="36"/>
      <c r="J41" s="36"/>
      <c r="K41" s="36"/>
      <c r="L41" s="36"/>
      <c r="M41" s="36"/>
      <c r="N41" s="36"/>
      <c r="O41" s="36"/>
      <c r="P41" s="36"/>
      <c r="Q41" s="34"/>
      <c r="R41" s="34"/>
    </row>
    <row r="42" spans="1:18" x14ac:dyDescent="0.2">
      <c r="A42" s="36"/>
      <c r="B42" s="36"/>
      <c r="C42" s="36"/>
      <c r="D42" s="36"/>
      <c r="E42" s="36"/>
      <c r="F42" s="36"/>
      <c r="G42" s="36"/>
      <c r="H42" s="36"/>
      <c r="I42" s="36"/>
      <c r="J42" s="36"/>
      <c r="K42" s="36"/>
      <c r="L42" s="36"/>
      <c r="M42" s="36"/>
      <c r="N42" s="36"/>
      <c r="O42" s="36"/>
      <c r="P42" s="36"/>
      <c r="Q42" s="34"/>
      <c r="R42" s="34"/>
    </row>
    <row r="43" spans="1:18" x14ac:dyDescent="0.2">
      <c r="A43" s="36"/>
      <c r="B43" s="36"/>
      <c r="C43" s="36"/>
      <c r="D43" s="36"/>
      <c r="E43" s="36"/>
      <c r="F43" s="36"/>
      <c r="G43" s="36"/>
      <c r="H43" s="36"/>
      <c r="I43" s="36"/>
      <c r="J43" s="36"/>
      <c r="K43" s="36"/>
      <c r="L43" s="36"/>
      <c r="M43" s="36"/>
      <c r="N43" s="36"/>
      <c r="O43" s="36"/>
      <c r="P43" s="36"/>
      <c r="Q43" s="34"/>
      <c r="R43" s="34"/>
    </row>
    <row r="44" spans="1:18" x14ac:dyDescent="0.2">
      <c r="A44" s="36"/>
      <c r="B44" s="36"/>
      <c r="C44" s="36"/>
      <c r="D44" s="36"/>
      <c r="E44" s="36"/>
      <c r="F44" s="36"/>
      <c r="G44" s="36"/>
      <c r="H44" s="36"/>
      <c r="I44" s="36"/>
      <c r="J44" s="36"/>
      <c r="K44" s="36"/>
      <c r="L44" s="36"/>
      <c r="M44" s="36"/>
      <c r="N44" s="36"/>
      <c r="O44" s="36"/>
      <c r="P44" s="36"/>
      <c r="Q44" s="34"/>
      <c r="R44" s="34"/>
    </row>
    <row r="45" spans="1:18" x14ac:dyDescent="0.2">
      <c r="A45" s="36"/>
      <c r="B45" s="36"/>
      <c r="C45" s="36"/>
      <c r="D45" s="36"/>
      <c r="E45" s="36"/>
      <c r="F45" s="36"/>
      <c r="G45" s="36"/>
      <c r="H45" s="36"/>
      <c r="I45" s="36"/>
      <c r="J45" s="36"/>
      <c r="K45" s="36"/>
      <c r="L45" s="36"/>
      <c r="M45" s="36"/>
      <c r="N45" s="36"/>
      <c r="O45" s="36"/>
      <c r="P45" s="36"/>
      <c r="Q45" s="34"/>
      <c r="R45" s="34"/>
    </row>
    <row r="46" spans="1:18" x14ac:dyDescent="0.2">
      <c r="A46" s="36"/>
      <c r="B46" s="36"/>
      <c r="C46" s="36"/>
      <c r="D46" s="36"/>
      <c r="E46" s="36"/>
      <c r="F46" s="36"/>
      <c r="G46" s="36"/>
      <c r="H46" s="36"/>
      <c r="I46" s="36"/>
      <c r="J46" s="36"/>
      <c r="K46" s="36"/>
      <c r="L46" s="36"/>
      <c r="M46" s="36"/>
      <c r="N46" s="36"/>
      <c r="O46" s="36"/>
      <c r="P46" s="36"/>
      <c r="Q46" s="34"/>
      <c r="R46" s="34"/>
    </row>
    <row r="47" spans="1:18" x14ac:dyDescent="0.2">
      <c r="A47" s="36"/>
      <c r="B47" s="36"/>
      <c r="C47" s="36"/>
      <c r="D47" s="36"/>
      <c r="E47" s="36"/>
      <c r="F47" s="36"/>
      <c r="G47" s="36"/>
      <c r="H47" s="36"/>
      <c r="I47" s="36"/>
      <c r="J47" s="36"/>
      <c r="K47" s="36"/>
      <c r="L47" s="36"/>
      <c r="M47" s="36"/>
      <c r="N47" s="36"/>
      <c r="O47" s="36"/>
      <c r="P47" s="36"/>
      <c r="Q47" s="34"/>
      <c r="R47" s="34"/>
    </row>
    <row r="48" spans="1:18" x14ac:dyDescent="0.2">
      <c r="A48" s="36"/>
      <c r="B48" s="36"/>
      <c r="C48" s="36"/>
      <c r="D48" s="36"/>
      <c r="E48" s="36"/>
      <c r="F48" s="36"/>
      <c r="G48" s="36"/>
      <c r="H48" s="36"/>
      <c r="I48" s="36"/>
      <c r="J48" s="36"/>
      <c r="K48" s="36"/>
      <c r="L48" s="36"/>
      <c r="M48" s="36"/>
      <c r="N48" s="36"/>
      <c r="O48" s="36"/>
      <c r="P48" s="36"/>
      <c r="Q48" s="34"/>
      <c r="R48" s="34"/>
    </row>
    <row r="49" spans="1:18" x14ac:dyDescent="0.2">
      <c r="A49" s="36"/>
      <c r="B49" s="36"/>
      <c r="C49" s="36"/>
      <c r="D49" s="36"/>
      <c r="E49" s="36"/>
      <c r="F49" s="36"/>
      <c r="G49" s="36"/>
      <c r="H49" s="36"/>
      <c r="I49" s="36"/>
      <c r="J49" s="36"/>
      <c r="K49" s="36"/>
      <c r="L49" s="36"/>
      <c r="M49" s="36"/>
      <c r="N49" s="36"/>
      <c r="O49" s="36"/>
      <c r="P49" s="36"/>
      <c r="Q49" s="34"/>
      <c r="R49" s="34"/>
    </row>
    <row r="50" spans="1:18" x14ac:dyDescent="0.2">
      <c r="A50" s="36"/>
      <c r="B50" s="36"/>
      <c r="C50" s="36"/>
      <c r="D50" s="36"/>
      <c r="E50" s="36"/>
      <c r="F50" s="36"/>
      <c r="G50" s="36"/>
      <c r="H50" s="36"/>
      <c r="I50" s="36"/>
      <c r="J50" s="36"/>
      <c r="K50" s="36"/>
      <c r="L50" s="36"/>
      <c r="M50" s="36"/>
      <c r="N50" s="36"/>
      <c r="O50" s="36"/>
      <c r="P50" s="36"/>
      <c r="Q50" s="34"/>
      <c r="R50" s="34"/>
    </row>
    <row r="51" spans="1:18" x14ac:dyDescent="0.2">
      <c r="A51" s="36"/>
      <c r="B51" s="36"/>
      <c r="C51" s="36"/>
      <c r="D51" s="36"/>
      <c r="E51" s="36"/>
      <c r="F51" s="36"/>
      <c r="G51" s="36"/>
      <c r="H51" s="36"/>
      <c r="I51" s="36"/>
      <c r="J51" s="36"/>
      <c r="K51" s="36"/>
      <c r="L51" s="36"/>
      <c r="M51" s="36"/>
      <c r="N51" s="36"/>
      <c r="O51" s="36"/>
      <c r="P51" s="36"/>
      <c r="Q51" s="34"/>
      <c r="R51" s="34"/>
    </row>
    <row r="52" spans="1:18" x14ac:dyDescent="0.2">
      <c r="A52" s="36"/>
      <c r="B52" s="36"/>
      <c r="C52" s="36"/>
      <c r="D52" s="36"/>
      <c r="E52" s="36"/>
      <c r="F52" s="36"/>
      <c r="G52" s="36"/>
      <c r="H52" s="36"/>
      <c r="I52" s="36"/>
      <c r="J52" s="36"/>
      <c r="K52" s="36"/>
      <c r="L52" s="36"/>
      <c r="M52" s="36"/>
      <c r="N52" s="36"/>
      <c r="O52" s="36"/>
      <c r="P52" s="36"/>
      <c r="Q52" s="34"/>
      <c r="R52" s="34"/>
    </row>
    <row r="53" spans="1:18" x14ac:dyDescent="0.2">
      <c r="A53" s="36"/>
      <c r="B53" s="36"/>
      <c r="C53" s="36"/>
      <c r="D53" s="36"/>
      <c r="E53" s="36"/>
      <c r="F53" s="36"/>
      <c r="G53" s="36"/>
      <c r="H53" s="36"/>
      <c r="I53" s="36"/>
      <c r="J53" s="36"/>
      <c r="K53" s="36"/>
      <c r="L53" s="36"/>
      <c r="M53" s="36"/>
      <c r="N53" s="36"/>
      <c r="O53" s="36"/>
      <c r="P53" s="36"/>
      <c r="Q53" s="34"/>
      <c r="R53" s="34"/>
    </row>
    <row r="54" spans="1:18" x14ac:dyDescent="0.2">
      <c r="A54" s="36"/>
      <c r="B54" s="36"/>
      <c r="C54" s="36"/>
      <c r="D54" s="36"/>
      <c r="E54" s="36"/>
      <c r="F54" s="36"/>
      <c r="G54" s="36"/>
      <c r="H54" s="36"/>
      <c r="I54" s="36"/>
      <c r="J54" s="36"/>
      <c r="K54" s="36"/>
      <c r="L54" s="36"/>
      <c r="M54" s="36"/>
      <c r="N54" s="36"/>
      <c r="O54" s="36"/>
      <c r="P54" s="36"/>
      <c r="Q54" s="34"/>
      <c r="R54" s="34"/>
    </row>
    <row r="55" spans="1:18" x14ac:dyDescent="0.2">
      <c r="A55" s="36"/>
      <c r="B55" s="36"/>
      <c r="C55" s="36"/>
      <c r="D55" s="36"/>
      <c r="E55" s="36"/>
      <c r="F55" s="36"/>
      <c r="G55" s="36"/>
      <c r="H55" s="36"/>
      <c r="I55" s="36"/>
      <c r="J55" s="36"/>
      <c r="K55" s="36"/>
      <c r="L55" s="36"/>
      <c r="M55" s="36"/>
      <c r="N55" s="36"/>
      <c r="O55" s="36"/>
      <c r="P55" s="36"/>
      <c r="Q55" s="34"/>
      <c r="R55" s="34"/>
    </row>
    <row r="56" spans="1:18" x14ac:dyDescent="0.2">
      <c r="A56" s="36"/>
      <c r="B56" s="36"/>
      <c r="C56" s="36"/>
      <c r="D56" s="36"/>
      <c r="E56" s="36"/>
      <c r="F56" s="36"/>
      <c r="G56" s="36"/>
      <c r="H56" s="36"/>
      <c r="I56" s="36"/>
      <c r="J56" s="36"/>
      <c r="K56" s="36"/>
      <c r="L56" s="36"/>
      <c r="M56" s="36"/>
      <c r="N56" s="36"/>
      <c r="O56" s="36"/>
      <c r="P56" s="36"/>
      <c r="Q56" s="34"/>
      <c r="R56" s="34"/>
    </row>
    <row r="57" spans="1:18" x14ac:dyDescent="0.2">
      <c r="A57" s="36"/>
      <c r="B57" s="36"/>
      <c r="C57" s="36"/>
      <c r="D57" s="36"/>
      <c r="E57" s="36"/>
      <c r="F57" s="36"/>
      <c r="G57" s="36"/>
      <c r="H57" s="36"/>
      <c r="I57" s="36"/>
      <c r="J57" s="36"/>
      <c r="K57" s="36"/>
      <c r="L57" s="36"/>
      <c r="M57" s="36"/>
      <c r="N57" s="36"/>
      <c r="O57" s="36"/>
      <c r="P57" s="36"/>
      <c r="Q57" s="34"/>
      <c r="R57" s="34"/>
    </row>
    <row r="58" spans="1:18" x14ac:dyDescent="0.2">
      <c r="A58" s="36"/>
      <c r="B58" s="36"/>
      <c r="C58" s="36"/>
      <c r="D58" s="36"/>
      <c r="E58" s="36"/>
      <c r="F58" s="36"/>
      <c r="G58" s="36"/>
      <c r="H58" s="36"/>
      <c r="I58" s="36"/>
      <c r="J58" s="36"/>
      <c r="K58" s="36"/>
      <c r="L58" s="36"/>
      <c r="M58" s="36"/>
      <c r="N58" s="36"/>
      <c r="O58" s="36"/>
      <c r="P58" s="36"/>
      <c r="Q58" s="34"/>
      <c r="R58" s="34"/>
    </row>
    <row r="59" spans="1:18" x14ac:dyDescent="0.2">
      <c r="A59" s="36"/>
      <c r="B59" s="36"/>
      <c r="C59" s="36"/>
      <c r="D59" s="36"/>
      <c r="E59" s="36"/>
      <c r="F59" s="36"/>
      <c r="G59" s="36"/>
      <c r="H59" s="36"/>
      <c r="I59" s="36"/>
      <c r="J59" s="36"/>
      <c r="K59" s="36"/>
      <c r="L59" s="36"/>
      <c r="M59" s="36"/>
      <c r="N59" s="36"/>
      <c r="O59" s="36"/>
      <c r="P59" s="36"/>
      <c r="Q59" s="34"/>
      <c r="R59" s="34"/>
    </row>
    <row r="60" spans="1:18" x14ac:dyDescent="0.2">
      <c r="A60" s="36"/>
      <c r="B60" s="36"/>
      <c r="C60" s="36"/>
      <c r="D60" s="36"/>
      <c r="E60" s="36"/>
      <c r="F60" s="36"/>
      <c r="G60" s="36"/>
      <c r="H60" s="36"/>
      <c r="I60" s="36"/>
      <c r="J60" s="36"/>
      <c r="K60" s="36"/>
      <c r="L60" s="36"/>
      <c r="M60" s="36"/>
      <c r="N60" s="36"/>
      <c r="O60" s="36"/>
      <c r="P60" s="36"/>
      <c r="Q60" s="34"/>
      <c r="R60" s="34"/>
    </row>
    <row r="61" spans="1:18" x14ac:dyDescent="0.2">
      <c r="A61" s="36"/>
      <c r="B61" s="36"/>
      <c r="C61" s="36"/>
      <c r="D61" s="36"/>
      <c r="E61" s="36"/>
      <c r="F61" s="36"/>
      <c r="G61" s="36"/>
      <c r="H61" s="36"/>
      <c r="I61" s="36"/>
      <c r="J61" s="36"/>
      <c r="K61" s="36"/>
      <c r="L61" s="36"/>
      <c r="M61" s="36"/>
      <c r="N61" s="36"/>
      <c r="O61" s="36"/>
      <c r="P61" s="36"/>
      <c r="Q61" s="34"/>
      <c r="R61" s="34"/>
    </row>
    <row r="62" spans="1:18" x14ac:dyDescent="0.2">
      <c r="O62" s="34"/>
      <c r="P62" s="34"/>
      <c r="Q62" s="34"/>
      <c r="R62" s="34"/>
    </row>
    <row r="63" spans="1:18" x14ac:dyDescent="0.2">
      <c r="O63" s="34"/>
      <c r="P63" s="34"/>
    </row>
    <row r="64" spans="1:18"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ASDAQGS:CPRT/explorer/revenue_proj" xr:uid="{E6353F23-2FC8-C54C-BDAC-9BE09EFA6D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2023-12-09T08:13:49Z</dcterms:modified>
</cp:coreProperties>
</file>