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190C1C98-8A05-F840-B3D6-BAC13215B1D9}"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6" i="1" l="1"/>
  <c r="M29" i="1"/>
  <c r="N29" i="1"/>
  <c r="M30" i="1"/>
  <c r="N30" i="1"/>
  <c r="M20" i="1"/>
  <c r="N20" i="1"/>
  <c r="M21" i="1"/>
  <c r="N21" i="1"/>
  <c r="K30" i="1"/>
  <c r="L30" i="1"/>
  <c r="J30" i="1"/>
  <c r="J29" i="1"/>
  <c r="K29" i="1"/>
  <c r="L29" i="1"/>
  <c r="K21" i="1"/>
  <c r="L21" i="1"/>
  <c r="J21" i="1"/>
  <c r="J20" i="1"/>
  <c r="K20" i="1"/>
  <c r="L20" i="1"/>
  <c r="O16" i="1"/>
  <c r="R4" i="1"/>
  <c r="Q4" i="1"/>
  <c r="P4" i="1"/>
  <c r="O4" i="1"/>
  <c r="K116" i="1" a="1"/>
  <c r="K116" i="1" s="1"/>
  <c r="K111" i="1"/>
  <c r="Q101" i="1" a="1"/>
  <c r="Q101" i="1" s="1"/>
  <c r="Q95" i="1" a="1"/>
  <c r="Q95" i="1" s="1"/>
  <c r="Q97" i="1" s="1"/>
  <c r="Q90" i="1"/>
  <c r="Q89" i="1"/>
  <c r="Q91" i="1" s="1"/>
  <c r="Q87" i="1"/>
  <c r="Q86" i="1"/>
  <c r="Q99" i="1" s="1"/>
  <c r="Q85" i="1"/>
  <c r="O19" i="1"/>
  <c r="K114" i="1"/>
  <c r="R13" i="1"/>
  <c r="Q13" i="1"/>
  <c r="P13" i="1"/>
  <c r="O13" i="1"/>
  <c r="R10" i="1"/>
  <c r="Q10" i="1"/>
  <c r="P10" i="1"/>
  <c r="R7" i="1"/>
  <c r="Q7" i="1"/>
  <c r="P7" i="1"/>
  <c r="O7" i="1"/>
  <c r="N4" i="1"/>
  <c r="M4" i="1"/>
  <c r="L4" i="1"/>
  <c r="K4" i="1"/>
  <c r="J4" i="1"/>
  <c r="I105" i="1"/>
  <c r="H105" i="1"/>
  <c r="G105" i="1"/>
  <c r="F105" i="1"/>
  <c r="E105" i="1"/>
  <c r="D105" i="1"/>
  <c r="C105" i="1"/>
  <c r="I89" i="1"/>
  <c r="H89" i="1"/>
  <c r="G89" i="1"/>
  <c r="F89" i="1"/>
  <c r="E89" i="1"/>
  <c r="D89" i="1"/>
  <c r="C89" i="1"/>
  <c r="B89" i="1"/>
  <c r="I80"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O10" i="1" s="1"/>
  <c r="H9" i="1"/>
  <c r="G9" i="1"/>
  <c r="F9" i="1"/>
  <c r="E9" i="1"/>
  <c r="D9" i="1"/>
  <c r="C9" i="1"/>
  <c r="B9" i="1"/>
  <c r="I4" i="1"/>
  <c r="H4" i="1"/>
  <c r="G4" i="1"/>
  <c r="F4" i="1"/>
  <c r="E4" i="1"/>
  <c r="D4" i="1"/>
  <c r="C4" i="1"/>
  <c r="P19" i="1" l="1"/>
  <c r="Q19" i="1"/>
  <c r="R19" i="1"/>
  <c r="Q106" i="1"/>
  <c r="R16" i="1"/>
  <c r="Q16" i="1"/>
  <c r="P16" i="1"/>
  <c r="Q103" i="1"/>
  <c r="Q102" i="1" s="1"/>
  <c r="K112" i="1"/>
  <c r="Q88" i="1"/>
  <c r="Q92" i="1" s="1"/>
  <c r="K106" i="1" l="1"/>
  <c r="J108" i="1"/>
  <c r="Q100" i="1"/>
  <c r="Q105" i="1" s="1"/>
  <c r="Q108" i="1" s="1"/>
  <c r="L106" i="1" l="1"/>
  <c r="K108" i="1"/>
  <c r="L108" i="1"/>
  <c r="M106" i="1"/>
  <c r="N106" i="1" l="1"/>
  <c r="N107" i="1" s="1"/>
  <c r="N108" i="1" s="1"/>
  <c r="M108" i="1"/>
  <c r="K110" i="1" s="1"/>
  <c r="K113" i="1" s="1"/>
  <c r="K115" i="1" s="1"/>
  <c r="K118" i="1" l="1"/>
  <c r="K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<sst xmlns="http://schemas.openxmlformats.org/spreadsheetml/2006/main" count="425" uniqueCount="163">
  <si>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</si>
  <si>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</si>
  <si>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</si>
  <si>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</si>
  <si>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</si>
  <si>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</si>
  <si>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</si>
  <si>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</si>
  <si>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</si>
  <si>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</si>
  <si>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</si>
  <si>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</si>
  <si>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</si>
  <si>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</si>
  <si>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</si>
  <si>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</si>
  <si>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</si>
  <si>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</si>
  <si>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</si>
  <si>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</si>
  <si>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</si>
  <si>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</si>
  <si>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</si>
  <si>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</si>
  <si>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</si>
  <si>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</si>
  <si>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</si>
  <si>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</si>
  <si>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</si>
  <si>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</si>
  <si>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</si>
  <si>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</si>
  <si>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</si>
  <si>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</si>
  <si>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</si>
  <si>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</si>
  <si>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</si>
  <si>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</si>
  <si>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</si>
  <si>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</si>
  <si>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</si>
  <si>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</si>
  <si>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</si>
  <si>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</si>
  <si>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</si>
  <si>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</si>
  <si>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</si>
  <si>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</si>
  <si>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</si>
  <si>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</si>
  <si>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</si>
  <si>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</si>
  <si>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</si>
  <si>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</si>
  <si>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</si>
  <si>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</si>
  <si>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</si>
  <si>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</si>
  <si>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</si>
  <si>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</si>
  <si>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</si>
  <si>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</si>
  <si>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</si>
  <si>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</si>
  <si>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</si>
  <si>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</si>
  <si>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</si>
  <si>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</si>
  <si>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</si>
  <si>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</si>
  <si>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</si>
  <si>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</si>
  <si>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</si>
  <si>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</si>
  <si>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</si>
  <si>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</si>
  <si>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</si>
  <si>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</si>
  <si>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</si>
  <si>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</si>
  <si>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</si>
  <si>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</si>
  <si>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</si>
  <si>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</si>
  <si>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</si>
  <si>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</si>
  <si>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</si>
  <si>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</si>
  <si>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</si>
  <si>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</si>
  <si>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</si>
  <si>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</si>
  <si>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</si>
  <si>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</si>
  <si>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</si>
  <si>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</si>
  <si>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</si>
  <si>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</si>
  <si>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</si>
  <si>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</si>
  <si>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</si>
  <si>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</si>
  <si>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</si>
  <si>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</si>
  <si>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</si>
  <si>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</si>
  <si>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</si>
  <si>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</si>
  <si>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</si>
  <si>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</si>
  <si>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</si>
  <si>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</si>
  <si>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</si>
  <si>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</si>
  <si>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</si>
  <si>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</si>
  <si>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</si>
  <si>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</si>
  <si>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</si>
  <si>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</si>
  <si>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</si>
  <si>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</si>
  <si>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</si>
  <si>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</si>
  <si>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</si>
  <si>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</si>
  <si>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</si>
  <si>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</si>
  <si>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</si>
  <si>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</si>
  <si>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</si>
  <si>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</si>
  <si>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</si>
  <si>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</si>
  <si>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</si>
  <si>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</si>
  <si>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</si>
  <si>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</si>
  <si>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</si>
  <si>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</si>
  <si>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</si>
  <si>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</si>
  <si>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</si>
  <si>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</si>
  <si>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</si>
  <si>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</si>
  <si>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</si>
  <si>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</si>
  <si>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</si>
  <si>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</si>
  <si>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</si>
  <si>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</si>
  <si>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</si>
  <si>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</si>
  <si>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</si>
  <si>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2yr Rev Growth</t>
  </si>
  <si>
    <t>2yr EBITDA Growth</t>
  </si>
  <si>
    <t>2yr Net Income Growth</t>
  </si>
  <si>
    <t>2yr FCF Growth</t>
  </si>
  <si>
    <t>Share Dilution (2yr)</t>
  </si>
  <si>
    <t>Forward P/S</t>
  </si>
  <si>
    <t>Forward P/E</t>
  </si>
  <si>
    <t>Forward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</si>
</sst>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0" fontId="14" fillId="0" borderId="0" xfId="0"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7"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7"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7"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4" fontId="10"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5" fillId="5" borderId="12" xfId="0" applyFont="1" applyFill="1" applyBorder="1" applyAlignment="1">
      <alignment horizontal="center"/>
    </xf>
    <xf numFmtId="0" fontId="16"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ELF</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328920413873885E-2"/>
          <c:y val="0.10690169385482645"/>
          <c:w val="0.86852897767944282"/>
          <c:h val="0.7632631392552994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191413000</c:v>
                </c:pt>
                <c:pt idx="1">
                  <c:v>229567000</c:v>
                </c:pt>
                <c:pt idx="2">
                  <c:v>269888000</c:v>
                </c:pt>
                <c:pt idx="3">
                  <c:v>267435000</c:v>
                </c:pt>
                <c:pt idx="4">
                  <c:v>0</c:v>
                </c:pt>
                <c:pt idx="5">
                  <c:v>282851000</c:v>
                </c:pt>
                <c:pt idx="6">
                  <c:v>318110000</c:v>
                </c:pt>
                <c:pt idx="7">
                  <c:v>392155000</c:v>
                </c:pt>
              </c:numCache>
            </c:numRef>
          </c:val>
          <c:extLst>
            <c:ext xmlns:c16="http://schemas.microsoft.com/office/drawing/2014/chart" uri="{C3380CC4-5D6E-409C-BE32-E72D297353CC}">
              <c16:uniqueId val="{00000000-B6AA-8B49-A573-F0A9B9CA7A4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1'!$B$19:$I$19</c:f>
              <c:numCache>
                <c:formatCode>#,###,,;\(#,###,,\);\ \-\ \-</c:formatCode>
                <c:ptCount val="8"/>
                <c:pt idx="0">
                  <c:v>31688000</c:v>
                </c:pt>
                <c:pt idx="1">
                  <c:v>35230000</c:v>
                </c:pt>
                <c:pt idx="2">
                  <c:v>44955000</c:v>
                </c:pt>
                <c:pt idx="3">
                  <c:v>42841000</c:v>
                </c:pt>
                <c:pt idx="4">
                  <c:v>0</c:v>
                </c:pt>
                <c:pt idx="5">
                  <c:v>53336000</c:v>
                </c:pt>
                <c:pt idx="6">
                  <c:v>32117000</c:v>
                </c:pt>
                <c:pt idx="7">
                  <c:v>54627000</c:v>
                </c:pt>
              </c:numCache>
            </c:numRef>
          </c:val>
          <c:extLst>
            <c:ext xmlns:c16="http://schemas.microsoft.com/office/drawing/2014/chart" uri="{C3380CC4-5D6E-409C-BE32-E72D297353CC}">
              <c16:uniqueId val="{00000001-B6AA-8B49-A573-F0A9B9CA7A40}"/>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1'!$B$106:$I$106</c:f>
              <c:numCache>
                <c:formatCode>#,###,,;\(#,###,,\);\ \-\ \-</c:formatCode>
                <c:ptCount val="8"/>
                <c:pt idx="0">
                  <c:v>14277000</c:v>
                </c:pt>
                <c:pt idx="1">
                  <c:v>-7103000</c:v>
                </c:pt>
                <c:pt idx="2">
                  <c:v>4834000</c:v>
                </c:pt>
                <c:pt idx="3">
                  <c:v>46710000</c:v>
                </c:pt>
                <c:pt idx="4">
                  <c:v>0</c:v>
                </c:pt>
                <c:pt idx="5">
                  <c:v>34891000</c:v>
                </c:pt>
                <c:pt idx="6">
                  <c:v>23001000</c:v>
                </c:pt>
                <c:pt idx="7">
                  <c:v>14695000</c:v>
                </c:pt>
              </c:numCache>
            </c:numRef>
          </c:val>
          <c:extLst>
            <c:ext xmlns:c16="http://schemas.microsoft.com/office/drawing/2014/chart" uri="{C3380CC4-5D6E-409C-BE32-E72D297353CC}">
              <c16:uniqueId val="{00000002-B6AA-8B49-A573-F0A9B9CA7A40}"/>
            </c:ext>
          </c:extLst>
        </c:ser>
        <c:dLbls>
          <c:showLegendKey val="0"/>
          <c:showVal val="0"/>
          <c:showCatName val="0"/>
          <c:showSerName val="0"/>
          <c:showPercent val="0"/>
          <c:showBubbleSize val="0"/>
        </c:dLbls>
        <c:gapWidth val="100"/>
        <c:overlap val="-24"/>
        <c:axId val="720528143"/>
        <c:axId val="720530143"/>
      </c:barChart>
      <c:catAx>
        <c:axId val="72052814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20530143"/>
        <c:crosses val="autoZero"/>
        <c:auto val="1"/>
        <c:lblAlgn val="ctr"/>
        <c:lblOffset val="100"/>
        <c:noMultiLvlLbl val="0"/>
      </c:catAx>
      <c:valAx>
        <c:axId val="72053014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20528143"/>
        <c:crosses val="autoZero"/>
        <c:crossBetween val="between"/>
      </c:valAx>
      <c:spPr>
        <a:noFill/>
        <a:ln>
          <a:noFill/>
        </a:ln>
        <a:effectLst/>
      </c:spPr>
    </c:plotArea>
    <c:legend>
      <c:legendPos val="b"/>
      <c:layout>
        <c:manualLayout>
          <c:xMode val="edge"/>
          <c:yMode val="edge"/>
          <c:x val="0.35772926400728833"/>
          <c:y val="0.93169204309829756"/>
          <c:w val="0.30305376456042166"/>
          <c:h val="4.445325169343647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15874</xdr:colOff>
      <xdr:row>108</xdr:row>
      <xdr:rowOff>1587</xdr:rowOff>
    </xdr:from>
    <xdr:to>
      <xdr:col>16</xdr:col>
      <xdr:colOff>1603374</xdr:colOff>
      <xdr:row>134</xdr:row>
      <xdr:rowOff>31749</xdr:rowOff>
    </xdr:to>
    <xdr:graphicFrame macro="">
      <xdr:nvGraphicFramePr>
        <xdr:cNvPr id="2" name="Chart 1">
          <a:extLst>
            <a:ext uri="{FF2B5EF4-FFF2-40B4-BE49-F238E27FC236}">
              <a16:creationId xmlns:a16="http://schemas.microsoft.com/office/drawing/2014/main" id="{2A443D02-B949-6483-5A39-C7A0440057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https://www.bing.com/financeapi/forcetrigger?t=a1runm&amp;q=XNYS%3aELF&amp;form=skydnc</v>
    <v>Learn more on Bing</v>
  </rv>
  <rv s="1">
    <v>0</v>
    <v>E.L.F. BEAUTY, INC. (XNYS:ELF)</v>
    <v>2</v>
    <v>3</v>
    <v>Finance</v>
    <v>4</v>
    <v>en-US</v>
    <v>a1runm</v>
    <v>268435456</v>
    <v>1</v>
    <v>Powered by Refinitiv</v>
    <v>108.45</v>
    <v>24.64</v>
    <v>1.4729000000000001</v>
    <v>-0.57999999999999996</v>
    <v>-5.6579999999999998E-3</v>
    <v>-0.64</v>
    <v>-6.2789999999999999E-3</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103.91</v>
    <v>Specialty Retailers</v>
    <v>Stock</v>
    <v>45091.990555878903</v>
    <v>0</v>
    <v>100.24</v>
    <v>5490670445</v>
    <v>E.L.F. BEAUTY, INC.</v>
    <v>E.L.F. BEAUTY, INC.</v>
    <v>102.13</v>
    <v>91.784199999999998</v>
    <v>102.51</v>
    <v>101.93</v>
    <v>101.29</v>
    <v>53867070</v>
    <v>ELF</v>
    <v>E.L.F. BEAUTY, INC. (XNYS:ELF)</v>
    <v>790201</v>
    <v>1116881</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00033/000160003319000011/0001600033-19-000011-index.htm" TargetMode="External"/><Relationship Id="rId13" Type="http://schemas.openxmlformats.org/officeDocument/2006/relationships/hyperlink" Target="https://sec.gov/" TargetMode="External"/><Relationship Id="rId18" Type="http://schemas.openxmlformats.org/officeDocument/2006/relationships/hyperlink" Target="https://finbox.com/NYSE:ELF/explorer/revenue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00033/000160003318000014/0001600033-18-000014-index.htm"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600033/000160003322000027/0001600033-22-000027-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00033/000160003322000027/0001600033-22-000027-index.htm" TargetMode="External"/><Relationship Id="rId1" Type="http://schemas.openxmlformats.org/officeDocument/2006/relationships/hyperlink" Target="https://roic.ai/company/ELF" TargetMode="External"/><Relationship Id="rId6" Type="http://schemas.openxmlformats.org/officeDocument/2006/relationships/hyperlink" Target="https://www.sec.gov/Archives/edgar/data/1600033/000160003318000014/0001600033-18-000014-index.htm" TargetMode="External"/><Relationship Id="rId11" Type="http://schemas.openxmlformats.org/officeDocument/2006/relationships/hyperlink" Target="https://sec.gov/" TargetMode="External"/><Relationship Id="rId5" Type="http://schemas.openxmlformats.org/officeDocument/2006/relationships/hyperlink" Target="https://www.sec.gov/Archives/edgar/data/1600033/000156459017004450/0001564590-17-004450-index.htm" TargetMode="External"/><Relationship Id="rId15" Type="http://schemas.openxmlformats.org/officeDocument/2006/relationships/hyperlink" Target="https://www.sec.gov/Archives/edgar/data/1600033/000160003321000030/0001600033-21-000030-index.htm" TargetMode="External"/><Relationship Id="rId10" Type="http://schemas.openxmlformats.org/officeDocument/2006/relationships/hyperlink" Target="https://sec.gov/" TargetMode="External"/><Relationship Id="rId19" Type="http://schemas.openxmlformats.org/officeDocument/2006/relationships/drawing" Target="../drawings/drawing1.xml"/><Relationship Id="rId4" Type="http://schemas.openxmlformats.org/officeDocument/2006/relationships/hyperlink" Target="https://www.sec.gov/Archives/edgar/data/1600033/000156459017004450/0001564590-17-004450-index.htm" TargetMode="External"/><Relationship Id="rId9" Type="http://schemas.openxmlformats.org/officeDocument/2006/relationships/hyperlink" Target="https://www.sec.gov/Archives/edgar/data/1600033/000160003319000011/0001600033-19-000011-index.htm" TargetMode="External"/><Relationship Id="rId14" Type="http://schemas.openxmlformats.org/officeDocument/2006/relationships/hyperlink" Target="https://www.sec.gov/Archives/edgar/data/1600033/000160003321000030/0001600033-21-00003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F2" activePane="bottomRight" state="frozen"/>
      <selection pane="topRight"/>
      <selection pane="bottomLeft"/>
      <selection pane="bottomRight" activeCell="R19" sqref="R19"/>
    </sheetView>
  </sheetViews>
  <sheetFormatPr baseColWidth="10" defaultRowHeight="16"/>
  <cols>
    <col min="1" max="1" width="50" customWidth="1"/>
    <col min="2" max="9" width="15" customWidth="1"/>
    <col min="10" max="18" width="21" customWidth="1"/>
  </cols>
  <sheetData>
    <row r="1" spans="1:38" ht="22" thickBot="1">
      <c r="A1" s="3" t="e" vm="1">
        <v>#VALUE!</v>
      </c>
      <c r="B1" s="8">
        <v>2015</v>
      </c>
      <c r="C1" s="8">
        <v>2016</v>
      </c>
      <c r="D1" s="8">
        <v>2017</v>
      </c>
      <c r="E1" s="8">
        <v>2018</v>
      </c>
      <c r="F1" s="8">
        <v>2019</v>
      </c>
      <c r="G1" s="8">
        <v>2020</v>
      </c>
      <c r="H1" s="8">
        <v>2021</v>
      </c>
      <c r="I1" s="8">
        <v>2022</v>
      </c>
      <c r="J1" s="28">
        <v>2023</v>
      </c>
      <c r="K1" s="28">
        <v>2024</v>
      </c>
      <c r="L1" s="28">
        <v>2025</v>
      </c>
      <c r="M1" s="28">
        <v>2026</v>
      </c>
      <c r="N1" s="28">
        <v>2027</v>
      </c>
    </row>
    <row r="2" spans="1:38" ht="21">
      <c r="A2" s="4" t="s">
        <v>0</v>
      </c>
      <c r="B2" s="9" t="s">
        <v>91</v>
      </c>
      <c r="C2" s="9" t="s">
        <v>91</v>
      </c>
      <c r="D2" s="9" t="s">
        <v>91</v>
      </c>
      <c r="E2" s="9" t="s">
        <v>91</v>
      </c>
      <c r="F2" s="9" t="s">
        <v>91</v>
      </c>
      <c r="G2" s="9" t="s">
        <v>91</v>
      </c>
      <c r="H2" s="9" t="s">
        <v>91</v>
      </c>
      <c r="I2" s="9" t="s">
        <v>91</v>
      </c>
      <c r="J2" s="9" t="s">
        <v>91</v>
      </c>
      <c r="K2" s="9" t="s">
        <v>91</v>
      </c>
      <c r="L2" s="9"/>
      <c r="M2" s="9"/>
      <c r="N2" s="9"/>
      <c r="O2" s="9"/>
      <c r="P2" s="9"/>
      <c r="Q2" s="9"/>
      <c r="R2" s="9"/>
    </row>
    <row r="3" spans="1:38" ht="40">
      <c r="A3" s="5" t="s">
        <v>1</v>
      </c>
      <c r="B3" s="1">
        <v>191413000</v>
      </c>
      <c r="C3" s="1">
        <v>229567000</v>
      </c>
      <c r="D3" s="1">
        <v>269888000</v>
      </c>
      <c r="E3" s="1">
        <v>267435000</v>
      </c>
      <c r="F3" s="1" t="s">
        <v>92</v>
      </c>
      <c r="G3" s="1">
        <v>282851000</v>
      </c>
      <c r="H3" s="1">
        <v>318110000</v>
      </c>
      <c r="I3" s="1">
        <v>392155000</v>
      </c>
      <c r="J3" s="29">
        <v>543000000</v>
      </c>
      <c r="K3" s="29">
        <v>614000000</v>
      </c>
      <c r="L3" s="29">
        <v>680000000</v>
      </c>
      <c r="M3" s="29">
        <v>740000000</v>
      </c>
      <c r="N3" s="29">
        <v>800000000</v>
      </c>
      <c r="O3" s="19" t="s">
        <v>155</v>
      </c>
      <c r="P3" s="20" t="s">
        <v>156</v>
      </c>
      <c r="Q3" s="20" t="s">
        <v>157</v>
      </c>
      <c r="R3" s="20" t="s">
        <v>158</v>
      </c>
    </row>
    <row r="4" spans="1:38" ht="19">
      <c r="A4" s="14" t="s">
        <v>94</v>
      </c>
      <c r="B4" s="1"/>
      <c r="C4" s="15">
        <f>(C3/B3)-1</f>
        <v>0.1993281543050891</v>
      </c>
      <c r="D4" s="15">
        <f>(D3/C3)-1</f>
        <v>0.17563935583075962</v>
      </c>
      <c r="E4" s="15">
        <f>(E3/D3)-1</f>
        <v>-9.0889554185440424E-3</v>
      </c>
      <c r="F4" s="15" t="e">
        <f t="shared" ref="F4:N4" si="0">(F3/E3)-1</f>
        <v>#VALUE!</v>
      </c>
      <c r="G4" s="15" t="e">
        <f t="shared" si="0"/>
        <v>#VALUE!</v>
      </c>
      <c r="H4" s="16">
        <f t="shared" si="0"/>
        <v>0.12465573747308656</v>
      </c>
      <c r="I4" s="16">
        <f t="shared" si="0"/>
        <v>0.23276539561786813</v>
      </c>
      <c r="J4" s="16">
        <f t="shared" si="0"/>
        <v>0.38465657711874135</v>
      </c>
      <c r="K4" s="16">
        <f t="shared" si="0"/>
        <v>0.13075506445672191</v>
      </c>
      <c r="L4" s="16">
        <f t="shared" si="0"/>
        <v>0.10749185667752448</v>
      </c>
      <c r="M4" s="16">
        <f t="shared" si="0"/>
        <v>8.8235294117646967E-2</v>
      </c>
      <c r="N4" s="16">
        <f t="shared" si="0"/>
        <v>8.1081081081081141E-2</v>
      </c>
      <c r="O4" s="17">
        <f>(I4+H4)/2</f>
        <v>0.17871056654547735</v>
      </c>
      <c r="P4" s="17">
        <f>(I20+H20)/2</f>
        <v>0.15151928393476649</v>
      </c>
      <c r="Q4" s="17">
        <f>(I29+H29)/2</f>
        <v>0.92086424738630845</v>
      </c>
      <c r="R4" s="17">
        <f>(I105+H105)/2</f>
        <v>-0.35094514615442818</v>
      </c>
      <c r="AI4" s="18"/>
      <c r="AJ4" s="18"/>
      <c r="AK4" s="18"/>
      <c r="AL4" s="18"/>
    </row>
    <row r="5" spans="1:38" ht="19">
      <c r="A5" s="5" t="s">
        <v>2</v>
      </c>
      <c r="B5" s="1">
        <v>91084000</v>
      </c>
      <c r="C5" s="1">
        <v>97332000</v>
      </c>
      <c r="D5" s="1">
        <v>105163000</v>
      </c>
      <c r="E5" s="1">
        <v>104694000</v>
      </c>
      <c r="F5" s="1" t="s">
        <v>92</v>
      </c>
      <c r="G5" s="1">
        <v>101728000</v>
      </c>
      <c r="H5" s="1">
        <v>111912000</v>
      </c>
      <c r="I5" s="1">
        <v>140423000</v>
      </c>
    </row>
    <row r="6" spans="1:38" ht="20">
      <c r="A6" s="6" t="s">
        <v>3</v>
      </c>
      <c r="B6" s="10">
        <v>100329000</v>
      </c>
      <c r="C6" s="10">
        <v>132235000</v>
      </c>
      <c r="D6" s="10">
        <v>164725000</v>
      </c>
      <c r="E6" s="10">
        <v>162741000</v>
      </c>
      <c r="F6" s="10" t="s">
        <v>92</v>
      </c>
      <c r="G6" s="10">
        <v>181123000</v>
      </c>
      <c r="H6" s="10">
        <v>206198000</v>
      </c>
      <c r="I6" s="10">
        <v>251732000</v>
      </c>
      <c r="O6" s="19" t="s">
        <v>109</v>
      </c>
      <c r="P6" s="20" t="s">
        <v>110</v>
      </c>
      <c r="Q6" s="20" t="s">
        <v>111</v>
      </c>
      <c r="R6" s="20" t="s">
        <v>112</v>
      </c>
    </row>
    <row r="7" spans="1:38" ht="19">
      <c r="A7" s="5" t="s">
        <v>4</v>
      </c>
      <c r="B7" s="2">
        <v>0.52410000000000001</v>
      </c>
      <c r="C7" s="2">
        <v>0.57599999999999996</v>
      </c>
      <c r="D7" s="2">
        <v>0.61029999999999995</v>
      </c>
      <c r="E7" s="2">
        <v>0.60850000000000004</v>
      </c>
      <c r="F7" s="2" t="s">
        <v>92</v>
      </c>
      <c r="G7" s="2">
        <v>0.64029999999999998</v>
      </c>
      <c r="H7" s="2">
        <v>0.6482</v>
      </c>
      <c r="I7" s="2">
        <v>0.64190000000000003</v>
      </c>
      <c r="O7" s="17">
        <f>I7</f>
        <v>0.64190000000000003</v>
      </c>
      <c r="P7" s="21">
        <f>I21</f>
        <v>0.13930000000000001</v>
      </c>
      <c r="Q7" s="21">
        <f>I30</f>
        <v>5.5500000000000001E-2</v>
      </c>
      <c r="R7" s="21">
        <f>I106/I3</f>
        <v>3.747242799403297E-2</v>
      </c>
    </row>
    <row r="8" spans="1:38" ht="19">
      <c r="A8" s="5" t="s">
        <v>5</v>
      </c>
      <c r="B8" s="1">
        <v>0</v>
      </c>
      <c r="C8" s="1">
        <v>0</v>
      </c>
      <c r="D8" s="1">
        <v>0</v>
      </c>
      <c r="E8" s="1">
        <v>0</v>
      </c>
      <c r="F8" s="1">
        <v>0</v>
      </c>
      <c r="G8" s="1">
        <v>0</v>
      </c>
      <c r="H8" s="1">
        <v>0</v>
      </c>
      <c r="I8" s="1">
        <v>0</v>
      </c>
      <c r="J8" s="30"/>
    </row>
    <row r="9" spans="1:38" ht="19" customHeight="1">
      <c r="A9" s="14" t="s">
        <v>95</v>
      </c>
      <c r="B9" s="15">
        <f>B8/B3</f>
        <v>0</v>
      </c>
      <c r="C9" s="15">
        <f t="shared" ref="C9:I9" si="1">C8/C3</f>
        <v>0</v>
      </c>
      <c r="D9" s="15">
        <f t="shared" si="1"/>
        <v>0</v>
      </c>
      <c r="E9" s="15">
        <f t="shared" si="1"/>
        <v>0</v>
      </c>
      <c r="F9" s="15" t="e">
        <f t="shared" si="1"/>
        <v>#VALUE!</v>
      </c>
      <c r="G9" s="15">
        <f t="shared" si="1"/>
        <v>0</v>
      </c>
      <c r="H9" s="15">
        <f t="shared" si="1"/>
        <v>0</v>
      </c>
      <c r="I9" s="15">
        <f t="shared" si="1"/>
        <v>0</v>
      </c>
      <c r="O9" s="19" t="s">
        <v>96</v>
      </c>
      <c r="P9" s="20" t="s">
        <v>97</v>
      </c>
      <c r="Q9" s="20" t="s">
        <v>98</v>
      </c>
      <c r="R9" s="20" t="s">
        <v>99</v>
      </c>
    </row>
    <row r="10" spans="1:38" ht="19">
      <c r="A10" s="5" t="s">
        <v>6</v>
      </c>
      <c r="B10" s="1" t="s">
        <v>92</v>
      </c>
      <c r="C10" s="1" t="s">
        <v>92</v>
      </c>
      <c r="D10" s="1" t="s">
        <v>92</v>
      </c>
      <c r="E10" s="1" t="s">
        <v>92</v>
      </c>
      <c r="F10" s="1" t="s">
        <v>92</v>
      </c>
      <c r="G10" s="1" t="s">
        <v>92</v>
      </c>
      <c r="H10" s="1" t="s">
        <v>92</v>
      </c>
      <c r="I10" s="1" t="s">
        <v>92</v>
      </c>
      <c r="O10" s="17">
        <f>I9</f>
        <v>0</v>
      </c>
      <c r="P10" s="21">
        <f>I13</f>
        <v>0.56587828792186767</v>
      </c>
      <c r="Q10" s="21">
        <f>I80</f>
        <v>5.0097537963305329E-2</v>
      </c>
      <c r="R10" s="21">
        <f>I89</f>
        <v>1.2285958358302202E-2</v>
      </c>
    </row>
    <row r="11" spans="1:38" ht="19">
      <c r="A11" s="5" t="s">
        <v>7</v>
      </c>
      <c r="B11" s="1" t="s">
        <v>92</v>
      </c>
      <c r="C11" s="1" t="s">
        <v>92</v>
      </c>
      <c r="D11" s="1" t="s">
        <v>92</v>
      </c>
      <c r="E11" s="1" t="s">
        <v>92</v>
      </c>
      <c r="F11" s="1" t="s">
        <v>92</v>
      </c>
      <c r="G11" s="1" t="s">
        <v>92</v>
      </c>
      <c r="H11" s="1" t="s">
        <v>92</v>
      </c>
      <c r="I11" s="1" t="s">
        <v>92</v>
      </c>
    </row>
    <row r="12" spans="1:38" ht="20">
      <c r="A12" s="5" t="s">
        <v>8</v>
      </c>
      <c r="B12" s="1">
        <v>74758000</v>
      </c>
      <c r="C12" s="1">
        <v>109156000</v>
      </c>
      <c r="D12" s="1">
        <v>131446000</v>
      </c>
      <c r="E12" s="1">
        <v>136579000</v>
      </c>
      <c r="F12" s="1" t="s">
        <v>92</v>
      </c>
      <c r="G12" s="1">
        <v>157155000</v>
      </c>
      <c r="H12" s="1">
        <v>194157000</v>
      </c>
      <c r="I12" s="1">
        <v>221912000</v>
      </c>
      <c r="O12" s="19" t="s">
        <v>113</v>
      </c>
      <c r="P12" s="20" t="s">
        <v>114</v>
      </c>
      <c r="Q12" s="20" t="s">
        <v>115</v>
      </c>
      <c r="R12" s="20" t="s">
        <v>116</v>
      </c>
    </row>
    <row r="13" spans="1:38" ht="19">
      <c r="A13" s="14" t="s">
        <v>100</v>
      </c>
      <c r="B13" s="15">
        <f>B12/B3</f>
        <v>0.39055863499344351</v>
      </c>
      <c r="C13" s="15">
        <f t="shared" ref="C13:I13" si="2">C12/C3</f>
        <v>0.47548645929075173</v>
      </c>
      <c r="D13" s="15">
        <f t="shared" si="2"/>
        <v>0.48703906805786101</v>
      </c>
      <c r="E13" s="15">
        <f t="shared" si="2"/>
        <v>0.51069979621216366</v>
      </c>
      <c r="F13" s="15" t="e">
        <f t="shared" si="2"/>
        <v>#VALUE!</v>
      </c>
      <c r="G13" s="15">
        <f t="shared" si="2"/>
        <v>0.55561055113823177</v>
      </c>
      <c r="H13" s="15">
        <f t="shared" si="2"/>
        <v>0.61034547797931538</v>
      </c>
      <c r="I13" s="15">
        <f t="shared" si="2"/>
        <v>0.56587828792186767</v>
      </c>
      <c r="O13" s="17">
        <f>I28/I72</f>
        <v>6.9679831257661737E-2</v>
      </c>
      <c r="P13" s="21">
        <f>I28/I54</f>
        <v>4.4012518397515729E-2</v>
      </c>
      <c r="Q13" s="21">
        <f>I22/(I72+I56+I61)</f>
        <v>6.9324453345131917E-2</v>
      </c>
      <c r="R13" s="22">
        <f>I67/I72</f>
        <v>0.58318209897288664</v>
      </c>
    </row>
    <row r="14" spans="1:38" ht="19">
      <c r="A14" s="5" t="s">
        <v>9</v>
      </c>
      <c r="B14" s="1" t="s">
        <v>92</v>
      </c>
      <c r="C14" s="1" t="s">
        <v>92</v>
      </c>
      <c r="D14" s="1" t="s">
        <v>92</v>
      </c>
      <c r="E14" s="1" t="s">
        <v>92</v>
      </c>
      <c r="F14" s="1" t="s">
        <v>92</v>
      </c>
      <c r="G14" s="1" t="s">
        <v>92</v>
      </c>
      <c r="H14" s="1" t="s">
        <v>92</v>
      </c>
      <c r="I14" s="1" t="s">
        <v>92</v>
      </c>
    </row>
    <row r="15" spans="1:38" ht="20">
      <c r="A15" s="5" t="s">
        <v>10</v>
      </c>
      <c r="B15" s="1">
        <v>74758000</v>
      </c>
      <c r="C15" s="1">
        <v>109156000</v>
      </c>
      <c r="D15" s="1">
        <v>131446000</v>
      </c>
      <c r="E15" s="1">
        <v>136579000</v>
      </c>
      <c r="F15" s="1" t="s">
        <v>92</v>
      </c>
      <c r="G15" s="1">
        <v>157155000</v>
      </c>
      <c r="H15" s="1">
        <v>194157000</v>
      </c>
      <c r="I15" s="1">
        <v>221912000</v>
      </c>
      <c r="O15" s="19" t="s">
        <v>159</v>
      </c>
      <c r="P15" s="20" t="s">
        <v>117</v>
      </c>
      <c r="Q15" s="20" t="s">
        <v>118</v>
      </c>
      <c r="R15" s="20" t="s">
        <v>119</v>
      </c>
    </row>
    <row r="16" spans="1:38" ht="19">
      <c r="A16" s="5" t="s">
        <v>11</v>
      </c>
      <c r="B16" s="1">
        <v>165842000</v>
      </c>
      <c r="C16" s="1">
        <v>206488000</v>
      </c>
      <c r="D16" s="1">
        <v>236609000</v>
      </c>
      <c r="E16" s="1">
        <v>241273000</v>
      </c>
      <c r="F16" s="1" t="s">
        <v>92</v>
      </c>
      <c r="G16" s="1">
        <v>258883000</v>
      </c>
      <c r="H16" s="1">
        <v>306069000</v>
      </c>
      <c r="I16" s="1">
        <v>362335000</v>
      </c>
      <c r="O16" s="31">
        <f>(I35+H35)/2</f>
        <v>2.7545612578283918E-2</v>
      </c>
      <c r="P16" s="32">
        <f>Q101/I3</f>
        <v>14.001276140811669</v>
      </c>
      <c r="Q16" s="32">
        <f>Q101/I28</f>
        <v>252.21269843821773</v>
      </c>
      <c r="R16" s="33">
        <f>Q101/I106</f>
        <v>373.64208540319839</v>
      </c>
    </row>
    <row r="17" spans="1:18" ht="19">
      <c r="A17" s="5" t="s">
        <v>12</v>
      </c>
      <c r="B17" s="1">
        <v>12721000</v>
      </c>
      <c r="C17" s="1">
        <v>12266000</v>
      </c>
      <c r="D17" s="1">
        <v>7965000</v>
      </c>
      <c r="E17" s="1">
        <v>7024000</v>
      </c>
      <c r="F17" s="1" t="s">
        <v>92</v>
      </c>
      <c r="G17" s="1">
        <v>6424000</v>
      </c>
      <c r="H17" s="1">
        <v>3248000</v>
      </c>
      <c r="I17" s="1">
        <v>2113000</v>
      </c>
    </row>
    <row r="18" spans="1:18" ht="20">
      <c r="A18" s="5" t="s">
        <v>13</v>
      </c>
      <c r="B18" s="1">
        <v>10289000</v>
      </c>
      <c r="C18" s="1">
        <v>13152000</v>
      </c>
      <c r="D18" s="1">
        <v>14521000</v>
      </c>
      <c r="E18" s="1">
        <v>17861000</v>
      </c>
      <c r="F18" s="1" t="s">
        <v>92</v>
      </c>
      <c r="G18" s="1">
        <v>22843000</v>
      </c>
      <c r="H18" s="1">
        <v>25179000</v>
      </c>
      <c r="I18" s="1">
        <v>27083000</v>
      </c>
      <c r="O18" s="19" t="s">
        <v>120</v>
      </c>
      <c r="P18" s="20" t="s">
        <v>160</v>
      </c>
      <c r="Q18" s="20" t="s">
        <v>161</v>
      </c>
      <c r="R18" s="20" t="s">
        <v>162</v>
      </c>
    </row>
    <row r="19" spans="1:18" ht="19">
      <c r="A19" s="6" t="s">
        <v>14</v>
      </c>
      <c r="B19" s="10">
        <v>31688000</v>
      </c>
      <c r="C19" s="10">
        <v>35230000</v>
      </c>
      <c r="D19" s="10">
        <v>44955000</v>
      </c>
      <c r="E19" s="10">
        <v>42841000</v>
      </c>
      <c r="F19" s="10" t="s">
        <v>92</v>
      </c>
      <c r="G19" s="10">
        <v>53336000</v>
      </c>
      <c r="H19" s="10">
        <v>32117000</v>
      </c>
      <c r="I19" s="10">
        <v>54627000</v>
      </c>
      <c r="J19" s="61">
        <v>115000000</v>
      </c>
      <c r="K19" s="61">
        <v>137000000</v>
      </c>
      <c r="L19" s="61">
        <v>163100000</v>
      </c>
      <c r="M19" s="61">
        <v>163100001</v>
      </c>
      <c r="N19" s="61">
        <v>163100002</v>
      </c>
      <c r="O19" s="34">
        <f>I40-I56-I61</f>
        <v>-73648000</v>
      </c>
      <c r="P19" s="32">
        <f>Q101/J3</f>
        <v>10.11173194290976</v>
      </c>
      <c r="Q19" s="32">
        <f>Q101/J28</f>
        <v>70.393210833333328</v>
      </c>
      <c r="R19" s="33">
        <f>Q101/J106</f>
        <v>63.195925626214006</v>
      </c>
    </row>
    <row r="20" spans="1:18" ht="19" customHeight="1">
      <c r="A20" s="14" t="s">
        <v>101</v>
      </c>
      <c r="B20" s="1"/>
      <c r="C20" s="15">
        <f>(C19/B19)-1</f>
        <v>0.11177732895733405</v>
      </c>
      <c r="D20" s="15">
        <f>(D19/C19)-1</f>
        <v>0.27604314504683503</v>
      </c>
      <c r="E20" s="15">
        <f>(E19/D19)-1</f>
        <v>-4.7024802580358127E-2</v>
      </c>
      <c r="F20" s="15" t="e">
        <f t="shared" ref="F20:I20" si="3">(F19/E19)-1</f>
        <v>#VALUE!</v>
      </c>
      <c r="G20" s="15" t="e">
        <f t="shared" si="3"/>
        <v>#VALUE!</v>
      </c>
      <c r="H20" s="15">
        <f t="shared" si="3"/>
        <v>-0.39783635818209084</v>
      </c>
      <c r="I20" s="15">
        <f t="shared" si="3"/>
        <v>0.70087492605162383</v>
      </c>
      <c r="J20" s="16">
        <f t="shared" ref="J20" si="4">(J19/I19)-1</f>
        <v>1.1051860801435187</v>
      </c>
      <c r="K20" s="16">
        <f t="shared" ref="K20" si="5">(K19/J19)-1</f>
        <v>0.19130434782608696</v>
      </c>
      <c r="L20" s="16">
        <f t="shared" ref="L20" si="6">(L19/K19)-1</f>
        <v>0.19051094890510956</v>
      </c>
      <c r="M20" s="16">
        <f t="shared" ref="M20" si="7">(M19/L19)-1</f>
        <v>6.1312077637154516E-9</v>
      </c>
      <c r="N20" s="16">
        <f t="shared" ref="N20" si="8">(N19/M19)-1</f>
        <v>6.1312077637154516E-9</v>
      </c>
    </row>
    <row r="21" spans="1:18" ht="19">
      <c r="A21" s="5" t="s">
        <v>15</v>
      </c>
      <c r="B21" s="2">
        <v>0.16550000000000001</v>
      </c>
      <c r="C21" s="2">
        <v>0.1535</v>
      </c>
      <c r="D21" s="2">
        <v>0.1666</v>
      </c>
      <c r="E21" s="2">
        <v>0.16020000000000001</v>
      </c>
      <c r="F21" s="2" t="s">
        <v>92</v>
      </c>
      <c r="G21" s="2">
        <v>0.18859999999999999</v>
      </c>
      <c r="H21" s="2">
        <v>0.10100000000000001</v>
      </c>
      <c r="I21" s="2">
        <v>0.13930000000000001</v>
      </c>
      <c r="J21" s="62">
        <f>J19/J3</f>
        <v>0.21178637200736647</v>
      </c>
      <c r="K21" s="62">
        <f t="shared" ref="K21:L21" si="9">K19/K3</f>
        <v>0.22312703583061888</v>
      </c>
      <c r="L21" s="62">
        <f t="shared" si="9"/>
        <v>0.2398529411764706</v>
      </c>
      <c r="M21" s="62">
        <f t="shared" ref="M21:N21" si="10">M19/M3</f>
        <v>0.22040540675675677</v>
      </c>
      <c r="N21" s="62">
        <f t="shared" si="10"/>
        <v>0.20387500250000001</v>
      </c>
    </row>
    <row r="22" spans="1:18" ht="19">
      <c r="A22" s="6" t="s">
        <v>16</v>
      </c>
      <c r="B22" s="10">
        <v>25571000</v>
      </c>
      <c r="C22" s="10">
        <v>23079000</v>
      </c>
      <c r="D22" s="10">
        <v>33279000</v>
      </c>
      <c r="E22" s="10">
        <v>26162000</v>
      </c>
      <c r="F22" s="10" t="s">
        <v>92</v>
      </c>
      <c r="G22" s="10">
        <v>29950000</v>
      </c>
      <c r="H22" s="10">
        <v>9400000</v>
      </c>
      <c r="I22" s="10">
        <v>29770000</v>
      </c>
    </row>
    <row r="23" spans="1:18" ht="19">
      <c r="A23" s="5" t="s">
        <v>17</v>
      </c>
      <c r="B23" s="2">
        <v>0.1336</v>
      </c>
      <c r="C23" s="2">
        <v>0.10050000000000001</v>
      </c>
      <c r="D23" s="2">
        <v>0.12330000000000001</v>
      </c>
      <c r="E23" s="2">
        <v>9.7799999999999998E-2</v>
      </c>
      <c r="F23" s="2" t="s">
        <v>92</v>
      </c>
      <c r="G23" s="2">
        <v>0.10589999999999999</v>
      </c>
      <c r="H23" s="2">
        <v>2.9499999999999998E-2</v>
      </c>
      <c r="I23" s="2">
        <v>7.5899999999999995E-2</v>
      </c>
    </row>
    <row r="24" spans="1:18" ht="19">
      <c r="A24" s="5" t="s">
        <v>18</v>
      </c>
      <c r="B24" s="1">
        <v>-16893000</v>
      </c>
      <c r="C24" s="1">
        <v>-13267000</v>
      </c>
      <c r="D24" s="1">
        <v>-10810000</v>
      </c>
      <c r="E24" s="1">
        <v>-8206000</v>
      </c>
      <c r="F24" s="1" t="s">
        <v>92</v>
      </c>
      <c r="G24" s="1">
        <v>-5881000</v>
      </c>
      <c r="H24" s="1">
        <v>-5710000</v>
      </c>
      <c r="I24" s="1">
        <v>-4339000</v>
      </c>
    </row>
    <row r="25" spans="1:18" ht="19">
      <c r="A25" s="6" t="s">
        <v>19</v>
      </c>
      <c r="B25" s="10">
        <v>8678000</v>
      </c>
      <c r="C25" s="10">
        <v>9812000</v>
      </c>
      <c r="D25" s="10">
        <v>22469000</v>
      </c>
      <c r="E25" s="10">
        <v>17956000</v>
      </c>
      <c r="F25" s="10" t="s">
        <v>92</v>
      </c>
      <c r="G25" s="10">
        <v>24069000</v>
      </c>
      <c r="H25" s="10">
        <v>3690000</v>
      </c>
      <c r="I25" s="10">
        <v>25431000</v>
      </c>
    </row>
    <row r="26" spans="1:18" ht="19">
      <c r="A26" s="5" t="s">
        <v>20</v>
      </c>
      <c r="B26" s="2">
        <v>4.53E-2</v>
      </c>
      <c r="C26" s="2">
        <v>4.2700000000000002E-2</v>
      </c>
      <c r="D26" s="2">
        <v>8.3299999999999999E-2</v>
      </c>
      <c r="E26" s="2">
        <v>6.7100000000000007E-2</v>
      </c>
      <c r="F26" s="2" t="s">
        <v>92</v>
      </c>
      <c r="G26" s="2">
        <v>8.5099999999999995E-2</v>
      </c>
      <c r="H26" s="2">
        <v>1.1599999999999999E-2</v>
      </c>
      <c r="I26" s="2">
        <v>6.4799999999999996E-2</v>
      </c>
    </row>
    <row r="27" spans="1:18" ht="19">
      <c r="A27" s="5" t="s">
        <v>21</v>
      </c>
      <c r="B27" s="1">
        <v>4321000</v>
      </c>
      <c r="C27" s="1">
        <v>4499000</v>
      </c>
      <c r="D27" s="1">
        <v>-11006000</v>
      </c>
      <c r="E27" s="1">
        <v>2431000</v>
      </c>
      <c r="F27" s="1" t="s">
        <v>92</v>
      </c>
      <c r="G27" s="1">
        <v>6185000</v>
      </c>
      <c r="H27" s="1">
        <v>-2542000</v>
      </c>
      <c r="I27" s="1">
        <v>3661000</v>
      </c>
    </row>
    <row r="28" spans="1:18" ht="20" thickBot="1">
      <c r="A28" s="7" t="s">
        <v>22</v>
      </c>
      <c r="B28" s="11">
        <v>4357000</v>
      </c>
      <c r="C28" s="11">
        <v>5313000</v>
      </c>
      <c r="D28" s="11">
        <v>33475000</v>
      </c>
      <c r="E28" s="11">
        <v>15525000</v>
      </c>
      <c r="F28" s="11" t="s">
        <v>92</v>
      </c>
      <c r="G28" s="11">
        <v>17884000</v>
      </c>
      <c r="H28" s="11">
        <v>6232000</v>
      </c>
      <c r="I28" s="11">
        <v>21770000</v>
      </c>
      <c r="J28" s="63">
        <v>78000000</v>
      </c>
      <c r="K28" s="63">
        <v>95100000</v>
      </c>
      <c r="L28" s="63">
        <v>114100000</v>
      </c>
      <c r="M28" s="63">
        <v>114100001</v>
      </c>
      <c r="N28" s="63">
        <v>114100002</v>
      </c>
    </row>
    <row r="29" spans="1:18" ht="20" customHeight="1" thickTop="1">
      <c r="A29" s="14" t="s">
        <v>102</v>
      </c>
      <c r="B29" s="1"/>
      <c r="C29" s="15">
        <f>(C28/B28)-1</f>
        <v>0.21941703006655966</v>
      </c>
      <c r="D29" s="15">
        <f>(D28/C28)-1</f>
        <v>5.3005834744965181</v>
      </c>
      <c r="E29" s="15">
        <f>(E28/D28)-1</f>
        <v>-0.53622106049290519</v>
      </c>
      <c r="F29" s="15" t="e">
        <f t="shared" ref="F29:I29" si="11">(F28/E28)-1</f>
        <v>#VALUE!</v>
      </c>
      <c r="G29" s="15" t="e">
        <f t="shared" si="11"/>
        <v>#VALUE!</v>
      </c>
      <c r="H29" s="15">
        <f t="shared" si="11"/>
        <v>-0.65153209572802506</v>
      </c>
      <c r="I29" s="15">
        <f t="shared" si="11"/>
        <v>2.493260590500642</v>
      </c>
      <c r="J29" s="16">
        <f t="shared" ref="J29" si="12">(J28/I28)-1</f>
        <v>2.5829122645842904</v>
      </c>
      <c r="K29" s="16">
        <f t="shared" ref="K29" si="13">(K28/J28)-1</f>
        <v>0.21923076923076934</v>
      </c>
      <c r="L29" s="16">
        <f t="shared" ref="L29" si="14">(L28/K28)-1</f>
        <v>0.19978969505783395</v>
      </c>
      <c r="M29" s="16">
        <f t="shared" ref="M29" si="15">(M28/L28)-1</f>
        <v>8.764241998804323E-9</v>
      </c>
      <c r="N29" s="16">
        <f t="shared" ref="N29" si="16">(N28/M28)-1</f>
        <v>8.7642417767597181E-9</v>
      </c>
    </row>
    <row r="30" spans="1:18" ht="19">
      <c r="A30" s="5" t="s">
        <v>23</v>
      </c>
      <c r="B30" s="2">
        <v>2.2800000000000001E-2</v>
      </c>
      <c r="C30" s="2">
        <v>2.3099999999999999E-2</v>
      </c>
      <c r="D30" s="2">
        <v>0.124</v>
      </c>
      <c r="E30" s="2">
        <v>5.8099999999999999E-2</v>
      </c>
      <c r="F30" s="2" t="s">
        <v>92</v>
      </c>
      <c r="G30" s="2">
        <v>6.3200000000000006E-2</v>
      </c>
      <c r="H30" s="2">
        <v>1.9599999999999999E-2</v>
      </c>
      <c r="I30" s="2">
        <v>5.5500000000000001E-2</v>
      </c>
      <c r="J30" s="64">
        <f>J28/J3</f>
        <v>0.143646408839779</v>
      </c>
      <c r="K30" s="64">
        <f t="shared" ref="K30:L30" si="17">K28/K3</f>
        <v>0.15488599348534202</v>
      </c>
      <c r="L30" s="64">
        <f t="shared" si="17"/>
        <v>0.16779411764705882</v>
      </c>
      <c r="M30" s="64">
        <f t="shared" ref="M30:N30" si="18">M28/M3</f>
        <v>0.15418919054054053</v>
      </c>
      <c r="N30" s="64">
        <f t="shared" si="18"/>
        <v>0.14262500249999999</v>
      </c>
    </row>
    <row r="31" spans="1:18" ht="19">
      <c r="A31" s="5" t="s">
        <v>24</v>
      </c>
      <c r="B31" s="12">
        <v>0.11</v>
      </c>
      <c r="C31" s="12">
        <v>-39.47</v>
      </c>
      <c r="D31" s="12">
        <v>0.74</v>
      </c>
      <c r="E31" s="12">
        <v>0.33</v>
      </c>
      <c r="F31" s="12" t="s">
        <v>92</v>
      </c>
      <c r="G31" s="12">
        <v>0.37</v>
      </c>
      <c r="H31" s="12">
        <v>0.13</v>
      </c>
      <c r="I31" s="12">
        <v>0.43</v>
      </c>
    </row>
    <row r="32" spans="1:18" ht="19">
      <c r="A32" s="5" t="s">
        <v>25</v>
      </c>
      <c r="B32" s="12">
        <v>0.1</v>
      </c>
      <c r="C32" s="12">
        <v>-39.47</v>
      </c>
      <c r="D32" s="12">
        <v>0.68</v>
      </c>
      <c r="E32" s="12">
        <v>0.32</v>
      </c>
      <c r="F32" s="12" t="s">
        <v>92</v>
      </c>
      <c r="G32" s="12">
        <v>0.35</v>
      </c>
      <c r="H32" s="12">
        <v>0.12</v>
      </c>
      <c r="I32" s="12">
        <v>0.41</v>
      </c>
    </row>
    <row r="33" spans="1:9" ht="19">
      <c r="A33" s="5" t="s">
        <v>26</v>
      </c>
      <c r="B33" s="1">
        <v>41301898</v>
      </c>
      <c r="C33" s="1">
        <v>12606529</v>
      </c>
      <c r="D33" s="1">
        <v>45358452</v>
      </c>
      <c r="E33" s="1">
        <v>46828798</v>
      </c>
      <c r="F33" s="1" t="s">
        <v>92</v>
      </c>
      <c r="G33" s="1">
        <v>48498813</v>
      </c>
      <c r="H33" s="1">
        <v>49377410</v>
      </c>
      <c r="I33" s="1">
        <v>50940808</v>
      </c>
    </row>
    <row r="34" spans="1:9" ht="19">
      <c r="A34" s="5" t="s">
        <v>27</v>
      </c>
      <c r="B34" s="1">
        <v>42972032</v>
      </c>
      <c r="C34" s="1">
        <v>12606529</v>
      </c>
      <c r="D34" s="1">
        <v>49374758</v>
      </c>
      <c r="E34" s="1">
        <v>49268616</v>
      </c>
      <c r="F34" s="1" t="s">
        <v>92</v>
      </c>
      <c r="G34" s="1">
        <v>50817143</v>
      </c>
      <c r="H34" s="1">
        <v>51994145</v>
      </c>
      <c r="I34" s="1">
        <v>53654303</v>
      </c>
    </row>
    <row r="35" spans="1:9" ht="20" customHeight="1">
      <c r="A35" s="14" t="s">
        <v>103</v>
      </c>
      <c r="B35" s="1"/>
      <c r="C35" s="23">
        <f>(C34-B34)/B34</f>
        <v>-0.70663409633503016</v>
      </c>
      <c r="D35" s="23">
        <f t="shared" ref="D35:I35" si="19">(D34-C34)/C34</f>
        <v>2.9166021035607819</v>
      </c>
      <c r="E35" s="23">
        <f t="shared" si="19"/>
        <v>-2.1497219287636813E-3</v>
      </c>
      <c r="F35" s="23" t="e">
        <f t="shared" si="19"/>
        <v>#VALUE!</v>
      </c>
      <c r="G35" s="23" t="e">
        <f t="shared" si="19"/>
        <v>#VALUE!</v>
      </c>
      <c r="H35" s="23">
        <f t="shared" si="19"/>
        <v>2.3161514609351414E-2</v>
      </c>
      <c r="I35" s="23">
        <f t="shared" si="19"/>
        <v>3.1929710547216425E-2</v>
      </c>
    </row>
    <row r="36" spans="1:9" ht="19">
      <c r="A36" s="5" t="s">
        <v>28</v>
      </c>
      <c r="B36" s="13" t="s">
        <v>93</v>
      </c>
      <c r="C36" s="13" t="s">
        <v>93</v>
      </c>
      <c r="D36" s="13" t="s">
        <v>93</v>
      </c>
      <c r="E36" s="13" t="s">
        <v>93</v>
      </c>
      <c r="F36" s="13" t="s">
        <v>93</v>
      </c>
      <c r="G36" s="13" t="s">
        <v>93</v>
      </c>
      <c r="H36" s="13" t="s">
        <v>93</v>
      </c>
      <c r="I36" s="13" t="s">
        <v>93</v>
      </c>
    </row>
    <row r="37" spans="1:9" ht="21">
      <c r="A37" s="4" t="s">
        <v>29</v>
      </c>
      <c r="B37" s="9" t="s">
        <v>91</v>
      </c>
      <c r="C37" s="9" t="s">
        <v>91</v>
      </c>
      <c r="D37" s="9" t="s">
        <v>91</v>
      </c>
      <c r="E37" s="9" t="s">
        <v>91</v>
      </c>
      <c r="F37" s="9" t="s">
        <v>91</v>
      </c>
      <c r="G37" s="9" t="s">
        <v>91</v>
      </c>
      <c r="H37" s="9" t="s">
        <v>91</v>
      </c>
      <c r="I37" s="9" t="s">
        <v>91</v>
      </c>
    </row>
    <row r="38" spans="1:9" ht="19">
      <c r="A38" s="5" t="s">
        <v>30</v>
      </c>
      <c r="B38" s="1">
        <v>14004000</v>
      </c>
      <c r="C38" s="1">
        <v>15295000</v>
      </c>
      <c r="D38" s="1">
        <v>10059000</v>
      </c>
      <c r="E38" s="1">
        <v>51205000</v>
      </c>
      <c r="F38" s="1" t="s">
        <v>92</v>
      </c>
      <c r="G38" s="1">
        <v>46167000</v>
      </c>
      <c r="H38" s="1">
        <v>57768000</v>
      </c>
      <c r="I38" s="1">
        <v>43353000</v>
      </c>
    </row>
    <row r="39" spans="1:9" ht="19">
      <c r="A39" s="5" t="s">
        <v>31</v>
      </c>
      <c r="B39" s="1" t="s">
        <v>92</v>
      </c>
      <c r="C39" s="1" t="s">
        <v>92</v>
      </c>
      <c r="D39" s="1" t="s">
        <v>92</v>
      </c>
      <c r="E39" s="1" t="s">
        <v>92</v>
      </c>
      <c r="F39" s="1" t="s">
        <v>92</v>
      </c>
      <c r="G39" s="1" t="s">
        <v>92</v>
      </c>
      <c r="H39" s="1" t="s">
        <v>92</v>
      </c>
      <c r="I39" s="1" t="s">
        <v>92</v>
      </c>
    </row>
    <row r="40" spans="1:9" ht="19">
      <c r="A40" s="5" t="s">
        <v>32</v>
      </c>
      <c r="B40" s="1">
        <v>14004000</v>
      </c>
      <c r="C40" s="1">
        <v>15295000</v>
      </c>
      <c r="D40" s="1">
        <v>10059000</v>
      </c>
      <c r="E40" s="1">
        <v>51205000</v>
      </c>
      <c r="F40" s="1" t="s">
        <v>92</v>
      </c>
      <c r="G40" s="1">
        <v>46167000</v>
      </c>
      <c r="H40" s="1">
        <v>57768000</v>
      </c>
      <c r="I40" s="1">
        <v>43353000</v>
      </c>
    </row>
    <row r="41" spans="1:9" ht="19">
      <c r="A41" s="5" t="s">
        <v>33</v>
      </c>
      <c r="B41" s="1">
        <v>22475000</v>
      </c>
      <c r="C41" s="1">
        <v>37825000</v>
      </c>
      <c r="D41" s="1">
        <v>44634000</v>
      </c>
      <c r="E41" s="1">
        <v>36724000</v>
      </c>
      <c r="F41" s="1" t="s">
        <v>92</v>
      </c>
      <c r="G41" s="1">
        <v>29721000</v>
      </c>
      <c r="H41" s="1">
        <v>40185000</v>
      </c>
      <c r="I41" s="1">
        <v>45567000</v>
      </c>
    </row>
    <row r="42" spans="1:9" ht="19">
      <c r="A42" s="5" t="s">
        <v>34</v>
      </c>
      <c r="B42" s="1">
        <v>31261000</v>
      </c>
      <c r="C42" s="1">
        <v>69397000</v>
      </c>
      <c r="D42" s="1">
        <v>62679000</v>
      </c>
      <c r="E42" s="1">
        <v>46341000</v>
      </c>
      <c r="F42" s="1" t="s">
        <v>92</v>
      </c>
      <c r="G42" s="1">
        <v>46209000</v>
      </c>
      <c r="H42" s="1">
        <v>56810000</v>
      </c>
      <c r="I42" s="1">
        <v>84498000</v>
      </c>
    </row>
    <row r="43" spans="1:9" ht="19">
      <c r="A43" s="5" t="s">
        <v>35</v>
      </c>
      <c r="B43" s="1">
        <v>2978000</v>
      </c>
      <c r="C43" s="1">
        <v>2387000</v>
      </c>
      <c r="D43" s="1">
        <v>6272000</v>
      </c>
      <c r="E43" s="1">
        <v>7473000</v>
      </c>
      <c r="F43" s="1" t="s">
        <v>92</v>
      </c>
      <c r="G43" s="1">
        <v>10263000</v>
      </c>
      <c r="H43" s="1">
        <v>15381000</v>
      </c>
      <c r="I43" s="1">
        <v>19611000</v>
      </c>
    </row>
    <row r="44" spans="1:9" ht="19">
      <c r="A44" s="6" t="s">
        <v>36</v>
      </c>
      <c r="B44" s="10">
        <v>70718000</v>
      </c>
      <c r="C44" s="10">
        <v>124904000</v>
      </c>
      <c r="D44" s="10">
        <v>123644000</v>
      </c>
      <c r="E44" s="10">
        <v>141743000</v>
      </c>
      <c r="F44" s="10" t="s">
        <v>92</v>
      </c>
      <c r="G44" s="10">
        <v>132360000</v>
      </c>
      <c r="H44" s="10">
        <v>170144000</v>
      </c>
      <c r="I44" s="10">
        <v>193029000</v>
      </c>
    </row>
    <row r="45" spans="1:9" ht="19">
      <c r="A45" s="5" t="s">
        <v>37</v>
      </c>
      <c r="B45" s="1">
        <v>9854000</v>
      </c>
      <c r="C45" s="1">
        <v>17151000</v>
      </c>
      <c r="D45" s="1">
        <v>18037000</v>
      </c>
      <c r="E45" s="1">
        <v>21804000</v>
      </c>
      <c r="F45" s="1" t="s">
        <v>92</v>
      </c>
      <c r="G45" s="1">
        <v>17171000</v>
      </c>
      <c r="H45" s="1">
        <v>13770000</v>
      </c>
      <c r="I45" s="1">
        <v>10577000</v>
      </c>
    </row>
    <row r="46" spans="1:9" ht="19">
      <c r="A46" s="5" t="s">
        <v>38</v>
      </c>
      <c r="B46" s="1">
        <v>157264000</v>
      </c>
      <c r="C46" s="1">
        <v>157264000</v>
      </c>
      <c r="D46" s="1">
        <v>157264000</v>
      </c>
      <c r="E46" s="1">
        <v>157264000</v>
      </c>
      <c r="F46" s="1" t="s">
        <v>92</v>
      </c>
      <c r="G46" s="1">
        <v>171321000</v>
      </c>
      <c r="H46" s="1">
        <v>171620000</v>
      </c>
      <c r="I46" s="1">
        <v>171620000</v>
      </c>
    </row>
    <row r="47" spans="1:9" ht="19">
      <c r="A47" s="5" t="s">
        <v>39</v>
      </c>
      <c r="B47" s="1">
        <v>121282000</v>
      </c>
      <c r="C47" s="1">
        <v>113003000</v>
      </c>
      <c r="D47" s="1">
        <v>105882000</v>
      </c>
      <c r="E47" s="1">
        <v>98773000</v>
      </c>
      <c r="F47" s="1" t="s">
        <v>92</v>
      </c>
      <c r="G47" s="1">
        <v>102410000</v>
      </c>
      <c r="H47" s="1">
        <v>94286000</v>
      </c>
      <c r="I47" s="1">
        <v>86163000</v>
      </c>
    </row>
    <row r="48" spans="1:9" ht="19">
      <c r="A48" s="5" t="s">
        <v>40</v>
      </c>
      <c r="B48" s="1">
        <v>278546000</v>
      </c>
      <c r="C48" s="1">
        <v>270267000</v>
      </c>
      <c r="D48" s="1">
        <v>263146000</v>
      </c>
      <c r="E48" s="1">
        <v>256037000</v>
      </c>
      <c r="F48" s="1" t="s">
        <v>92</v>
      </c>
      <c r="G48" s="1">
        <v>273731000</v>
      </c>
      <c r="H48" s="1">
        <v>265906000</v>
      </c>
      <c r="I48" s="1">
        <v>257783000</v>
      </c>
    </row>
    <row r="49" spans="1:9" ht="19">
      <c r="A49" s="5" t="s">
        <v>41</v>
      </c>
      <c r="B49" s="1" t="s">
        <v>92</v>
      </c>
      <c r="C49" s="1" t="s">
        <v>92</v>
      </c>
      <c r="D49" s="1">
        <v>2875000</v>
      </c>
      <c r="E49" s="1">
        <v>2875000</v>
      </c>
      <c r="F49" s="1" t="s">
        <v>92</v>
      </c>
      <c r="G49" s="1">
        <v>2875000</v>
      </c>
      <c r="H49" s="1">
        <v>2875000</v>
      </c>
      <c r="I49" s="1">
        <v>2875000</v>
      </c>
    </row>
    <row r="50" spans="1:9" ht="19">
      <c r="A50" s="5" t="s">
        <v>42</v>
      </c>
      <c r="B50" s="1">
        <v>262000</v>
      </c>
      <c r="C50" s="1" t="s">
        <v>92</v>
      </c>
      <c r="D50" s="1" t="s">
        <v>92</v>
      </c>
      <c r="E50" s="1" t="s">
        <v>92</v>
      </c>
      <c r="F50" s="1" t="s">
        <v>92</v>
      </c>
      <c r="G50" s="1" t="s">
        <v>92</v>
      </c>
      <c r="H50" s="1" t="s">
        <v>92</v>
      </c>
      <c r="I50" s="1" t="s">
        <v>92</v>
      </c>
    </row>
    <row r="51" spans="1:9" ht="19">
      <c r="A51" s="5" t="s">
        <v>43</v>
      </c>
      <c r="B51" s="1">
        <v>1692000</v>
      </c>
      <c r="C51" s="1">
        <v>2407000</v>
      </c>
      <c r="D51" s="1">
        <v>9542000</v>
      </c>
      <c r="E51" s="1">
        <v>13397000</v>
      </c>
      <c r="F51" s="1" t="s">
        <v>92</v>
      </c>
      <c r="G51" s="1">
        <v>26967000</v>
      </c>
      <c r="H51" s="1">
        <v>34698000</v>
      </c>
      <c r="I51" s="1">
        <v>30368000</v>
      </c>
    </row>
    <row r="52" spans="1:9" ht="19">
      <c r="A52" s="5" t="s">
        <v>44</v>
      </c>
      <c r="B52" s="1">
        <v>290354000</v>
      </c>
      <c r="C52" s="1">
        <v>289825000</v>
      </c>
      <c r="D52" s="1">
        <v>293600000</v>
      </c>
      <c r="E52" s="1">
        <v>294113000</v>
      </c>
      <c r="F52" s="1" t="s">
        <v>92</v>
      </c>
      <c r="G52" s="1">
        <v>320744000</v>
      </c>
      <c r="H52" s="1">
        <v>317249000</v>
      </c>
      <c r="I52" s="1">
        <v>301603000</v>
      </c>
    </row>
    <row r="53" spans="1:9" ht="19">
      <c r="A53" s="5" t="s">
        <v>45</v>
      </c>
      <c r="B53" s="1" t="s">
        <v>92</v>
      </c>
      <c r="C53" s="1" t="s">
        <v>92</v>
      </c>
      <c r="D53" s="1" t="s">
        <v>92</v>
      </c>
      <c r="E53" s="1" t="s">
        <v>92</v>
      </c>
      <c r="F53" s="1" t="s">
        <v>92</v>
      </c>
      <c r="G53" s="1" t="s">
        <v>92</v>
      </c>
      <c r="H53" s="1" t="s">
        <v>92</v>
      </c>
      <c r="I53" s="1" t="s">
        <v>92</v>
      </c>
    </row>
    <row r="54" spans="1:9" ht="20" thickBot="1">
      <c r="A54" s="7" t="s">
        <v>46</v>
      </c>
      <c r="B54" s="11">
        <v>361072000</v>
      </c>
      <c r="C54" s="11">
        <v>414729000</v>
      </c>
      <c r="D54" s="11">
        <v>417244000</v>
      </c>
      <c r="E54" s="11">
        <v>435856000</v>
      </c>
      <c r="F54" s="11" t="s">
        <v>92</v>
      </c>
      <c r="G54" s="11">
        <v>453104000</v>
      </c>
      <c r="H54" s="11">
        <v>487393000</v>
      </c>
      <c r="I54" s="11">
        <v>494632000</v>
      </c>
    </row>
    <row r="55" spans="1:9" ht="20" thickTop="1">
      <c r="A55" s="5" t="s">
        <v>47</v>
      </c>
      <c r="B55" s="1">
        <v>24827000</v>
      </c>
      <c r="C55" s="1">
        <v>37944000</v>
      </c>
      <c r="D55" s="1">
        <v>26776000</v>
      </c>
      <c r="E55" s="1">
        <v>20483000</v>
      </c>
      <c r="F55" s="1" t="s">
        <v>92</v>
      </c>
      <c r="G55" s="1">
        <v>12390000</v>
      </c>
      <c r="H55" s="1">
        <v>15699000</v>
      </c>
      <c r="I55" s="1">
        <v>19227000</v>
      </c>
    </row>
    <row r="56" spans="1:9" ht="19">
      <c r="A56" s="5" t="s">
        <v>48</v>
      </c>
      <c r="B56" s="1">
        <v>10325000</v>
      </c>
      <c r="C56" s="1">
        <v>8650000</v>
      </c>
      <c r="D56" s="1">
        <v>8646000</v>
      </c>
      <c r="E56" s="1">
        <v>9861000</v>
      </c>
      <c r="F56" s="1" t="s">
        <v>92</v>
      </c>
      <c r="G56" s="1">
        <v>15651000</v>
      </c>
      <c r="H56" s="1">
        <v>20573000</v>
      </c>
      <c r="I56" s="1">
        <v>10177000</v>
      </c>
    </row>
    <row r="57" spans="1:9" ht="19">
      <c r="A57" s="5" t="s">
        <v>49</v>
      </c>
      <c r="B57" s="1" t="s">
        <v>92</v>
      </c>
      <c r="C57" s="1">
        <v>3705000</v>
      </c>
      <c r="D57" s="1">
        <v>625000</v>
      </c>
      <c r="E57" s="1">
        <v>71000</v>
      </c>
      <c r="F57" s="1" t="s">
        <v>92</v>
      </c>
      <c r="G57" s="1" t="s">
        <v>92</v>
      </c>
      <c r="H57" s="1" t="s">
        <v>92</v>
      </c>
      <c r="I57" s="1" t="s">
        <v>92</v>
      </c>
    </row>
    <row r="58" spans="1:9" ht="19">
      <c r="A58" s="5" t="s">
        <v>50</v>
      </c>
      <c r="B58" s="1" t="s">
        <v>92</v>
      </c>
      <c r="C58" s="1" t="s">
        <v>92</v>
      </c>
      <c r="D58" s="1" t="s">
        <v>92</v>
      </c>
      <c r="E58" s="1" t="s">
        <v>92</v>
      </c>
      <c r="F58" s="1" t="s">
        <v>92</v>
      </c>
      <c r="G58" s="1" t="s">
        <v>92</v>
      </c>
      <c r="H58" s="1" t="s">
        <v>92</v>
      </c>
      <c r="I58" s="1" t="s">
        <v>92</v>
      </c>
    </row>
    <row r="59" spans="1:9" ht="19">
      <c r="A59" s="5" t="s">
        <v>51</v>
      </c>
      <c r="B59" s="1">
        <v>10702000</v>
      </c>
      <c r="C59" s="1">
        <v>29971000</v>
      </c>
      <c r="D59" s="1">
        <v>15314000</v>
      </c>
      <c r="E59" s="1">
        <v>12600000</v>
      </c>
      <c r="F59" s="1" t="s">
        <v>92</v>
      </c>
      <c r="G59" s="1">
        <v>23082000</v>
      </c>
      <c r="H59" s="1">
        <v>37059000</v>
      </c>
      <c r="I59" s="1">
        <v>35613000</v>
      </c>
    </row>
    <row r="60" spans="1:9" ht="19">
      <c r="A60" s="6" t="s">
        <v>52</v>
      </c>
      <c r="B60" s="10">
        <v>45854000</v>
      </c>
      <c r="C60" s="10">
        <v>80270000</v>
      </c>
      <c r="D60" s="10">
        <v>51361000</v>
      </c>
      <c r="E60" s="10">
        <v>43015000</v>
      </c>
      <c r="F60" s="10" t="s">
        <v>92</v>
      </c>
      <c r="G60" s="10">
        <v>51123000</v>
      </c>
      <c r="H60" s="10">
        <v>73331000</v>
      </c>
      <c r="I60" s="10">
        <v>65017000</v>
      </c>
    </row>
    <row r="61" spans="1:9" ht="19">
      <c r="A61" s="5" t="s">
        <v>53</v>
      </c>
      <c r="B61" s="1">
        <v>134594000</v>
      </c>
      <c r="C61" s="1">
        <v>156177000</v>
      </c>
      <c r="D61" s="1">
        <v>147702000</v>
      </c>
      <c r="E61" s="1">
        <v>140523000</v>
      </c>
      <c r="F61" s="1" t="s">
        <v>92</v>
      </c>
      <c r="G61" s="1">
        <v>137327000</v>
      </c>
      <c r="H61" s="1">
        <v>130339000</v>
      </c>
      <c r="I61" s="1">
        <v>106824000</v>
      </c>
    </row>
    <row r="62" spans="1:9" ht="19">
      <c r="A62" s="5" t="s">
        <v>50</v>
      </c>
      <c r="B62" s="1" t="s">
        <v>92</v>
      </c>
      <c r="C62" s="1" t="s">
        <v>92</v>
      </c>
      <c r="D62" s="1" t="s">
        <v>92</v>
      </c>
      <c r="E62" s="1" t="s">
        <v>92</v>
      </c>
      <c r="F62" s="1" t="s">
        <v>92</v>
      </c>
      <c r="G62" s="1" t="s">
        <v>92</v>
      </c>
      <c r="H62" s="1" t="s">
        <v>92</v>
      </c>
      <c r="I62" s="1" t="s">
        <v>92</v>
      </c>
    </row>
    <row r="63" spans="1:9" ht="19">
      <c r="A63" s="5" t="s">
        <v>54</v>
      </c>
      <c r="B63" s="1">
        <v>42126000</v>
      </c>
      <c r="C63" s="1">
        <v>34212000</v>
      </c>
      <c r="D63" s="1">
        <v>21341000</v>
      </c>
      <c r="E63" s="1">
        <v>20217000</v>
      </c>
      <c r="F63" s="1" t="s">
        <v>92</v>
      </c>
      <c r="G63" s="1">
        <v>21892000</v>
      </c>
      <c r="H63" s="1">
        <v>13479000</v>
      </c>
      <c r="I63" s="1">
        <v>9593000</v>
      </c>
    </row>
    <row r="64" spans="1:9" ht="19">
      <c r="A64" s="5" t="s">
        <v>55</v>
      </c>
      <c r="B64" s="1">
        <v>1601000</v>
      </c>
      <c r="C64" s="1">
        <v>3208000</v>
      </c>
      <c r="D64" s="1">
        <v>2977000</v>
      </c>
      <c r="E64" s="1">
        <v>2770000</v>
      </c>
      <c r="F64" s="1" t="s">
        <v>92</v>
      </c>
      <c r="G64" s="1">
        <v>591000</v>
      </c>
      <c r="H64" s="1">
        <v>598000</v>
      </c>
      <c r="I64" s="1">
        <v>769000</v>
      </c>
    </row>
    <row r="65" spans="1:17" ht="19">
      <c r="A65" s="5" t="s">
        <v>56</v>
      </c>
      <c r="B65" s="1">
        <v>178321000</v>
      </c>
      <c r="C65" s="1">
        <v>193597000</v>
      </c>
      <c r="D65" s="1">
        <v>172020000</v>
      </c>
      <c r="E65" s="1">
        <v>163510000</v>
      </c>
      <c r="F65" s="1" t="s">
        <v>92</v>
      </c>
      <c r="G65" s="1">
        <v>159810000</v>
      </c>
      <c r="H65" s="1">
        <v>144416000</v>
      </c>
      <c r="I65" s="1">
        <v>117186000</v>
      </c>
    </row>
    <row r="66" spans="1:17" ht="19">
      <c r="A66" s="5" t="s">
        <v>57</v>
      </c>
      <c r="B66" s="1" t="s">
        <v>92</v>
      </c>
      <c r="C66" s="1" t="s">
        <v>92</v>
      </c>
      <c r="D66" s="1" t="s">
        <v>92</v>
      </c>
      <c r="E66" s="1" t="s">
        <v>92</v>
      </c>
      <c r="F66" s="1" t="s">
        <v>92</v>
      </c>
      <c r="G66" s="1" t="s">
        <v>92</v>
      </c>
      <c r="H66" s="1" t="s">
        <v>92</v>
      </c>
      <c r="I66" s="1" t="s">
        <v>92</v>
      </c>
    </row>
    <row r="67" spans="1:17" ht="19">
      <c r="A67" s="6" t="s">
        <v>58</v>
      </c>
      <c r="B67" s="10">
        <v>224175000</v>
      </c>
      <c r="C67" s="10">
        <v>273867000</v>
      </c>
      <c r="D67" s="10">
        <v>223381000</v>
      </c>
      <c r="E67" s="10">
        <v>206525000</v>
      </c>
      <c r="F67" s="10" t="s">
        <v>92</v>
      </c>
      <c r="G67" s="10">
        <v>210933000</v>
      </c>
      <c r="H67" s="10">
        <v>217747000</v>
      </c>
      <c r="I67" s="10">
        <v>182203000</v>
      </c>
    </row>
    <row r="68" spans="1:17" ht="19">
      <c r="A68" s="5" t="s">
        <v>59</v>
      </c>
      <c r="B68" s="1" t="s">
        <v>92</v>
      </c>
      <c r="C68" s="1">
        <v>438000</v>
      </c>
      <c r="D68" s="1">
        <v>463000</v>
      </c>
      <c r="E68" s="1">
        <v>478000</v>
      </c>
      <c r="F68" s="1" t="s">
        <v>92</v>
      </c>
      <c r="G68" s="1">
        <v>489000</v>
      </c>
      <c r="H68" s="1">
        <v>504000</v>
      </c>
      <c r="I68" s="1">
        <v>515000</v>
      </c>
    </row>
    <row r="69" spans="1:17" ht="19">
      <c r="A69" s="5" t="s">
        <v>60</v>
      </c>
      <c r="B69" s="1">
        <v>-67183000</v>
      </c>
      <c r="C69" s="1">
        <v>-560447000</v>
      </c>
      <c r="D69" s="1">
        <v>-526972000</v>
      </c>
      <c r="E69" s="1">
        <v>-511501000</v>
      </c>
      <c r="F69" s="1" t="s">
        <v>92</v>
      </c>
      <c r="G69" s="1">
        <v>-511531000</v>
      </c>
      <c r="H69" s="1">
        <v>-505299000</v>
      </c>
      <c r="I69" s="1">
        <v>-483529000</v>
      </c>
    </row>
    <row r="70" spans="1:17" ht="19">
      <c r="A70" s="5" t="s">
        <v>61</v>
      </c>
      <c r="B70" s="1">
        <v>-2120000</v>
      </c>
      <c r="C70" s="1">
        <v>-6117000</v>
      </c>
      <c r="D70" s="1">
        <v>-11092000</v>
      </c>
      <c r="E70" s="1">
        <v>-17260000</v>
      </c>
      <c r="F70" s="1" t="s">
        <v>92</v>
      </c>
      <c r="G70" s="1" t="s">
        <v>92</v>
      </c>
      <c r="H70" s="1" t="s">
        <v>92</v>
      </c>
      <c r="I70" s="1" t="s">
        <v>92</v>
      </c>
    </row>
    <row r="71" spans="1:17" ht="19">
      <c r="A71" s="5" t="s">
        <v>62</v>
      </c>
      <c r="B71" s="1">
        <v>8905000</v>
      </c>
      <c r="C71" s="1">
        <v>706988000</v>
      </c>
      <c r="D71" s="1">
        <v>731464000</v>
      </c>
      <c r="E71" s="1">
        <v>757614000</v>
      </c>
      <c r="F71" s="1" t="s">
        <v>92</v>
      </c>
      <c r="G71" s="1">
        <v>753213000</v>
      </c>
      <c r="H71" s="1">
        <v>774441000</v>
      </c>
      <c r="I71" s="1">
        <v>795443000</v>
      </c>
    </row>
    <row r="72" spans="1:17" ht="19">
      <c r="A72" s="6" t="s">
        <v>63</v>
      </c>
      <c r="B72" s="10">
        <v>136897000</v>
      </c>
      <c r="C72" s="10">
        <v>140862000</v>
      </c>
      <c r="D72" s="10">
        <v>193863000</v>
      </c>
      <c r="E72" s="10">
        <v>229331000</v>
      </c>
      <c r="F72" s="10" t="s">
        <v>92</v>
      </c>
      <c r="G72" s="10">
        <v>242171000</v>
      </c>
      <c r="H72" s="10">
        <v>269646000</v>
      </c>
      <c r="I72" s="10">
        <v>312429000</v>
      </c>
    </row>
    <row r="73" spans="1:17" ht="20" thickBot="1">
      <c r="A73" s="7" t="s">
        <v>64</v>
      </c>
      <c r="B73" s="11">
        <v>361072000</v>
      </c>
      <c r="C73" s="11">
        <v>414729000</v>
      </c>
      <c r="D73" s="11">
        <v>417244000</v>
      </c>
      <c r="E73" s="11">
        <v>435856000</v>
      </c>
      <c r="F73" s="11" t="s">
        <v>92</v>
      </c>
      <c r="G73" s="11">
        <v>453104000</v>
      </c>
      <c r="H73" s="11">
        <v>487393000</v>
      </c>
      <c r="I73" s="11">
        <v>494632000</v>
      </c>
    </row>
    <row r="74" spans="1:17" ht="20" thickTop="1">
      <c r="A74" s="5" t="s">
        <v>28</v>
      </c>
      <c r="B74" s="13" t="s">
        <v>93</v>
      </c>
      <c r="C74" s="13" t="s">
        <v>93</v>
      </c>
      <c r="D74" s="13" t="s">
        <v>93</v>
      </c>
      <c r="E74" s="13" t="s">
        <v>93</v>
      </c>
      <c r="F74" s="13" t="s">
        <v>93</v>
      </c>
      <c r="G74" s="13" t="s">
        <v>93</v>
      </c>
      <c r="H74" s="13" t="s">
        <v>93</v>
      </c>
      <c r="I74" s="13" t="s">
        <v>93</v>
      </c>
    </row>
    <row r="75" spans="1:17" ht="21">
      <c r="A75" s="4" t="s">
        <v>65</v>
      </c>
      <c r="B75" s="9" t="s">
        <v>91</v>
      </c>
      <c r="C75" s="9" t="s">
        <v>91</v>
      </c>
      <c r="D75" s="9" t="s">
        <v>91</v>
      </c>
      <c r="E75" s="9" t="s">
        <v>91</v>
      </c>
      <c r="F75" s="9" t="s">
        <v>91</v>
      </c>
      <c r="G75" s="9" t="s">
        <v>91</v>
      </c>
      <c r="H75" s="9" t="s">
        <v>91</v>
      </c>
      <c r="I75" s="9" t="s">
        <v>91</v>
      </c>
    </row>
    <row r="76" spans="1:17" ht="19">
      <c r="A76" s="5" t="s">
        <v>66</v>
      </c>
      <c r="B76" s="1">
        <v>4357000</v>
      </c>
      <c r="C76" s="1">
        <v>5313000</v>
      </c>
      <c r="D76" s="1">
        <v>33475000</v>
      </c>
      <c r="E76" s="1">
        <v>15525000</v>
      </c>
      <c r="F76" s="1" t="s">
        <v>92</v>
      </c>
      <c r="G76" s="1">
        <v>17884000</v>
      </c>
      <c r="H76" s="1">
        <v>6232000</v>
      </c>
      <c r="I76" s="1">
        <v>21770000</v>
      </c>
    </row>
    <row r="77" spans="1:17" ht="19">
      <c r="A77" s="5" t="s">
        <v>13</v>
      </c>
      <c r="B77" s="1">
        <v>10289000</v>
      </c>
      <c r="C77" s="1">
        <v>13152000</v>
      </c>
      <c r="D77" s="1">
        <v>14521000</v>
      </c>
      <c r="E77" s="1">
        <v>17861000</v>
      </c>
      <c r="F77" s="1" t="s">
        <v>92</v>
      </c>
      <c r="G77" s="1">
        <v>22843000</v>
      </c>
      <c r="H77" s="1">
        <v>25179000</v>
      </c>
      <c r="I77" s="1">
        <v>27083000</v>
      </c>
    </row>
    <row r="78" spans="1:17" ht="19">
      <c r="A78" s="5" t="s">
        <v>67</v>
      </c>
      <c r="B78" s="1">
        <v>-3933000</v>
      </c>
      <c r="C78" s="1">
        <v>-7575000</v>
      </c>
      <c r="D78" s="1">
        <v>-13434000</v>
      </c>
      <c r="E78" s="1">
        <v>-939000</v>
      </c>
      <c r="F78" s="1" t="s">
        <v>92</v>
      </c>
      <c r="G78" s="1">
        <v>2443000</v>
      </c>
      <c r="H78" s="1">
        <v>-8584000</v>
      </c>
      <c r="I78" s="1">
        <v>-3701000</v>
      </c>
    </row>
    <row r="79" spans="1:17" ht="19">
      <c r="A79" s="5" t="s">
        <v>68</v>
      </c>
      <c r="B79" s="1">
        <v>503000</v>
      </c>
      <c r="C79" s="1">
        <v>7149000</v>
      </c>
      <c r="D79" s="1">
        <v>13474000</v>
      </c>
      <c r="E79" s="1">
        <v>16821000</v>
      </c>
      <c r="F79" s="1" t="s">
        <v>92</v>
      </c>
      <c r="G79" s="1">
        <v>15488000</v>
      </c>
      <c r="H79" s="1">
        <v>19682000</v>
      </c>
      <c r="I79" s="1">
        <v>19646000</v>
      </c>
    </row>
    <row r="80" spans="1:17" ht="19">
      <c r="A80" s="14" t="s">
        <v>104</v>
      </c>
      <c r="B80" s="15">
        <f t="shared" ref="B80:I80" si="20">B79/B3</f>
        <v>2.6278256962693233E-3</v>
      </c>
      <c r="C80" s="15">
        <f t="shared" si="20"/>
        <v>3.1141235456315586E-2</v>
      </c>
      <c r="D80" s="15">
        <f t="shared" si="20"/>
        <v>4.9924413089874317E-2</v>
      </c>
      <c r="E80" s="15">
        <f t="shared" si="20"/>
        <v>6.289752650176679E-2</v>
      </c>
      <c r="F80" s="15" t="e">
        <f t="shared" si="20"/>
        <v>#VALUE!</v>
      </c>
      <c r="G80" s="15">
        <f t="shared" si="20"/>
        <v>5.4756744717183253E-2</v>
      </c>
      <c r="H80" s="15">
        <f t="shared" si="20"/>
        <v>6.1871679607682875E-2</v>
      </c>
      <c r="I80" s="15">
        <f t="shared" si="20"/>
        <v>5.0097537963305329E-2</v>
      </c>
      <c r="J80" s="15"/>
      <c r="K80" s="15"/>
      <c r="L80" s="15"/>
      <c r="M80" s="15"/>
      <c r="N80" s="15"/>
      <c r="O80" s="15"/>
      <c r="P80" s="15"/>
      <c r="Q80" s="15"/>
    </row>
    <row r="81" spans="1:17" ht="19">
      <c r="A81" s="5" t="s">
        <v>69</v>
      </c>
      <c r="B81" s="1">
        <v>6409000</v>
      </c>
      <c r="C81" s="1">
        <v>-9481000</v>
      </c>
      <c r="D81" s="1">
        <v>-38196000</v>
      </c>
      <c r="E81" s="1">
        <v>5046000</v>
      </c>
      <c r="F81" s="1" t="s">
        <v>92</v>
      </c>
      <c r="G81" s="1">
        <v>-9983000</v>
      </c>
      <c r="H81" s="1">
        <v>-16905000</v>
      </c>
      <c r="I81" s="1">
        <v>-46685000</v>
      </c>
    </row>
    <row r="82" spans="1:17" ht="19">
      <c r="A82" s="5" t="s">
        <v>70</v>
      </c>
      <c r="B82" s="1">
        <v>4448000</v>
      </c>
      <c r="C82" s="1">
        <v>-15392000</v>
      </c>
      <c r="D82" s="1">
        <v>-8001000</v>
      </c>
      <c r="E82" s="1">
        <v>7649000</v>
      </c>
      <c r="F82" s="1" t="s">
        <v>92</v>
      </c>
      <c r="G82" s="1">
        <v>2504000</v>
      </c>
      <c r="H82" s="1">
        <v>-10529000</v>
      </c>
      <c r="I82" s="1">
        <v>-5597000</v>
      </c>
    </row>
    <row r="83" spans="1:17" ht="21">
      <c r="A83" s="5" t="s">
        <v>34</v>
      </c>
      <c r="B83" s="1">
        <v>-2147000</v>
      </c>
      <c r="C83" s="1">
        <v>-37994000</v>
      </c>
      <c r="D83" s="1">
        <v>6718000</v>
      </c>
      <c r="E83" s="1">
        <v>16338000</v>
      </c>
      <c r="F83" s="1" t="s">
        <v>92</v>
      </c>
      <c r="G83" s="1">
        <v>-435000</v>
      </c>
      <c r="H83" s="1">
        <v>-10937000</v>
      </c>
      <c r="I83" s="1">
        <v>-27655000</v>
      </c>
      <c r="P83" s="68" t="s">
        <v>121</v>
      </c>
      <c r="Q83" s="69"/>
    </row>
    <row r="84" spans="1:17" ht="19">
      <c r="A84" s="5" t="s">
        <v>47</v>
      </c>
      <c r="B84" s="1">
        <v>3532000</v>
      </c>
      <c r="C84" s="1">
        <v>43144000</v>
      </c>
      <c r="D84" s="1" t="s">
        <v>92</v>
      </c>
      <c r="E84" s="1" t="s">
        <v>92</v>
      </c>
      <c r="F84" s="1" t="s">
        <v>92</v>
      </c>
      <c r="G84" s="1" t="s">
        <v>92</v>
      </c>
      <c r="H84" s="1" t="s">
        <v>92</v>
      </c>
      <c r="I84" s="1">
        <v>1498000</v>
      </c>
      <c r="P84" s="70" t="s">
        <v>122</v>
      </c>
      <c r="Q84" s="71"/>
    </row>
    <row r="85" spans="1:17" ht="20">
      <c r="A85" s="5" t="s">
        <v>71</v>
      </c>
      <c r="B85" s="1">
        <v>-10000</v>
      </c>
      <c r="C85" s="1" t="s">
        <v>92</v>
      </c>
      <c r="D85" s="1" t="s">
        <v>92</v>
      </c>
      <c r="E85" s="1" t="s">
        <v>92</v>
      </c>
      <c r="F85" s="1" t="s">
        <v>92</v>
      </c>
      <c r="G85" s="1" t="s">
        <v>92</v>
      </c>
      <c r="H85" s="1" t="s">
        <v>92</v>
      </c>
      <c r="I85" s="1" t="s">
        <v>92</v>
      </c>
      <c r="P85" s="24" t="s">
        <v>123</v>
      </c>
      <c r="Q85" s="25">
        <f>I17</f>
        <v>2113000</v>
      </c>
    </row>
    <row r="86" spans="1:17" ht="20">
      <c r="A86" s="5" t="s">
        <v>72</v>
      </c>
      <c r="B86" s="1">
        <v>6894000</v>
      </c>
      <c r="C86" s="1">
        <v>-6438000</v>
      </c>
      <c r="D86" s="1">
        <v>2538000</v>
      </c>
      <c r="E86" s="1">
        <v>1268000</v>
      </c>
      <c r="F86" s="1" t="s">
        <v>92</v>
      </c>
      <c r="G86" s="1">
        <v>-4362000</v>
      </c>
      <c r="H86" s="1">
        <v>3871000</v>
      </c>
      <c r="I86" s="1">
        <v>1400000</v>
      </c>
      <c r="P86" s="24" t="s">
        <v>124</v>
      </c>
      <c r="Q86" s="25">
        <f>I56</f>
        <v>10177000</v>
      </c>
    </row>
    <row r="87" spans="1:17" ht="20">
      <c r="A87" s="6" t="s">
        <v>73</v>
      </c>
      <c r="B87" s="10">
        <v>24519000</v>
      </c>
      <c r="C87" s="10">
        <v>2120000</v>
      </c>
      <c r="D87" s="10">
        <v>12378000</v>
      </c>
      <c r="E87" s="10">
        <v>55582000</v>
      </c>
      <c r="F87" s="10" t="s">
        <v>92</v>
      </c>
      <c r="G87" s="10">
        <v>44313000</v>
      </c>
      <c r="H87" s="10">
        <v>29475000</v>
      </c>
      <c r="I87" s="10">
        <v>19513000</v>
      </c>
      <c r="P87" s="24" t="s">
        <v>125</v>
      </c>
      <c r="Q87" s="25">
        <f>I61</f>
        <v>106824000</v>
      </c>
    </row>
    <row r="88" spans="1:17" ht="20">
      <c r="A88" s="5" t="s">
        <v>74</v>
      </c>
      <c r="B88" s="1">
        <v>-10142000</v>
      </c>
      <c r="C88" s="1">
        <v>-9223000</v>
      </c>
      <c r="D88" s="1">
        <v>-7544000</v>
      </c>
      <c r="E88" s="1">
        <v>-8872000</v>
      </c>
      <c r="F88" s="1" t="s">
        <v>92</v>
      </c>
      <c r="G88" s="1">
        <v>-9422000</v>
      </c>
      <c r="H88" s="1">
        <v>-6474000</v>
      </c>
      <c r="I88" s="1">
        <v>-4818000</v>
      </c>
      <c r="P88" s="35" t="s">
        <v>126</v>
      </c>
      <c r="Q88" s="36">
        <f>Q85/(Q86+Q87)</f>
        <v>1.8059674703635013E-2</v>
      </c>
    </row>
    <row r="89" spans="1:17" ht="20" customHeight="1">
      <c r="A89" s="14" t="s">
        <v>105</v>
      </c>
      <c r="B89" s="15">
        <f t="shared" ref="B89:I89" si="21">(-1*B88)/B3</f>
        <v>5.2984906981239518E-2</v>
      </c>
      <c r="C89" s="15">
        <f t="shared" si="21"/>
        <v>4.0175634999803977E-2</v>
      </c>
      <c r="D89" s="15">
        <f t="shared" si="21"/>
        <v>2.7952335783732511E-2</v>
      </c>
      <c r="E89" s="15">
        <f t="shared" si="21"/>
        <v>3.3174416213285471E-2</v>
      </c>
      <c r="F89" s="15" t="e">
        <f t="shared" si="21"/>
        <v>#VALUE!</v>
      </c>
      <c r="G89" s="15">
        <f t="shared" si="21"/>
        <v>3.331082442699513E-2</v>
      </c>
      <c r="H89" s="15">
        <f t="shared" si="21"/>
        <v>2.0351450756027789E-2</v>
      </c>
      <c r="I89" s="15">
        <f t="shared" si="21"/>
        <v>1.2285958358302202E-2</v>
      </c>
      <c r="P89" s="24" t="s">
        <v>106</v>
      </c>
      <c r="Q89" s="25">
        <f>I27</f>
        <v>3661000</v>
      </c>
    </row>
    <row r="90" spans="1:17" ht="20">
      <c r="A90" s="5" t="s">
        <v>75</v>
      </c>
      <c r="B90" s="1" t="s">
        <v>92</v>
      </c>
      <c r="C90" s="1" t="s">
        <v>92</v>
      </c>
      <c r="D90" s="1" t="s">
        <v>92</v>
      </c>
      <c r="E90" s="1" t="s">
        <v>92</v>
      </c>
      <c r="F90" s="1" t="s">
        <v>92</v>
      </c>
      <c r="G90" s="1">
        <v>-25923000</v>
      </c>
      <c r="H90" s="1" t="s">
        <v>92</v>
      </c>
      <c r="I90" s="1" t="s">
        <v>92</v>
      </c>
      <c r="P90" s="24" t="s">
        <v>19</v>
      </c>
      <c r="Q90" s="25">
        <f>I25</f>
        <v>25431000</v>
      </c>
    </row>
    <row r="91" spans="1:17" ht="20">
      <c r="A91" s="5" t="s">
        <v>76</v>
      </c>
      <c r="B91" s="1" t="s">
        <v>92</v>
      </c>
      <c r="C91" s="1" t="s">
        <v>92</v>
      </c>
      <c r="D91" s="1">
        <v>-2875000</v>
      </c>
      <c r="E91" s="1" t="s">
        <v>92</v>
      </c>
      <c r="F91" s="1" t="s">
        <v>92</v>
      </c>
      <c r="G91" s="1" t="s">
        <v>92</v>
      </c>
      <c r="H91" s="1" t="s">
        <v>92</v>
      </c>
      <c r="I91" s="1" t="s">
        <v>92</v>
      </c>
      <c r="P91" s="35" t="s">
        <v>127</v>
      </c>
      <c r="Q91" s="36">
        <f>Q89/Q90</f>
        <v>0.14395816129920175</v>
      </c>
    </row>
    <row r="92" spans="1:17" ht="20">
      <c r="A92" s="5" t="s">
        <v>77</v>
      </c>
      <c r="B92" s="1" t="s">
        <v>92</v>
      </c>
      <c r="C92" s="1" t="s">
        <v>92</v>
      </c>
      <c r="D92" s="1" t="s">
        <v>92</v>
      </c>
      <c r="E92" s="1" t="s">
        <v>92</v>
      </c>
      <c r="F92" s="1" t="s">
        <v>92</v>
      </c>
      <c r="G92" s="1" t="s">
        <v>92</v>
      </c>
      <c r="H92" s="1" t="s">
        <v>92</v>
      </c>
      <c r="I92" s="1" t="s">
        <v>92</v>
      </c>
      <c r="P92" s="37" t="s">
        <v>128</v>
      </c>
      <c r="Q92" s="38">
        <f>Q88*(1-Q91)</f>
        <v>1.5459837139638008E-2</v>
      </c>
    </row>
    <row r="93" spans="1:17" ht="19">
      <c r="A93" s="5" t="s">
        <v>78</v>
      </c>
      <c r="B93" s="1">
        <v>-100000</v>
      </c>
      <c r="C93" s="1">
        <v>84000</v>
      </c>
      <c r="D93" s="1" t="s">
        <v>92</v>
      </c>
      <c r="E93" s="1" t="s">
        <v>92</v>
      </c>
      <c r="F93" s="1" t="s">
        <v>92</v>
      </c>
      <c r="G93" s="1" t="s">
        <v>92</v>
      </c>
      <c r="H93" s="1" t="s">
        <v>92</v>
      </c>
      <c r="I93" s="1" t="s">
        <v>92</v>
      </c>
      <c r="P93" s="70" t="s">
        <v>129</v>
      </c>
      <c r="Q93" s="71"/>
    </row>
    <row r="94" spans="1:17" ht="20">
      <c r="A94" s="6" t="s">
        <v>79</v>
      </c>
      <c r="B94" s="10">
        <v>-10242000</v>
      </c>
      <c r="C94" s="10">
        <v>-9139000</v>
      </c>
      <c r="D94" s="10">
        <v>-10419000</v>
      </c>
      <c r="E94" s="10">
        <v>-8872000</v>
      </c>
      <c r="F94" s="10" t="s">
        <v>92</v>
      </c>
      <c r="G94" s="10">
        <v>-35345000</v>
      </c>
      <c r="H94" s="10">
        <v>-6474000</v>
      </c>
      <c r="I94" s="10">
        <v>-4818000</v>
      </c>
      <c r="P94" s="24" t="s">
        <v>130</v>
      </c>
      <c r="Q94" s="39">
        <v>4.095E-2</v>
      </c>
    </row>
    <row r="95" spans="1:17" ht="20">
      <c r="A95" s="5" t="s">
        <v>80</v>
      </c>
      <c r="B95" s="1">
        <v>-31725000</v>
      </c>
      <c r="C95" s="1">
        <v>-164740000</v>
      </c>
      <c r="D95" s="1">
        <v>-34150000</v>
      </c>
      <c r="E95" s="1">
        <v>-10250000</v>
      </c>
      <c r="F95" s="1" t="s">
        <v>92</v>
      </c>
      <c r="G95" s="1">
        <v>-9488000</v>
      </c>
      <c r="H95" s="1">
        <v>-31756000</v>
      </c>
      <c r="I95" s="1">
        <v>-81005000</v>
      </c>
      <c r="P95" s="24" t="s">
        <v>131</v>
      </c>
      <c r="Q95" s="40" cm="1">
        <f t="array" ref="Q95">_FV(A1,"Beta")</f>
        <v>1.4729000000000001</v>
      </c>
    </row>
    <row r="96" spans="1:17" ht="20">
      <c r="A96" s="5" t="s">
        <v>81</v>
      </c>
      <c r="B96" s="1">
        <v>25000</v>
      </c>
      <c r="C96" s="1">
        <v>64071000</v>
      </c>
      <c r="D96" s="1">
        <v>1978000</v>
      </c>
      <c r="E96" s="1">
        <v>3176000</v>
      </c>
      <c r="F96" s="1" t="s">
        <v>92</v>
      </c>
      <c r="G96" s="1">
        <v>1488000</v>
      </c>
      <c r="H96" s="1">
        <v>1503000</v>
      </c>
      <c r="I96" s="1">
        <v>1677000</v>
      </c>
      <c r="P96" s="24" t="s">
        <v>132</v>
      </c>
      <c r="Q96" s="39">
        <v>8.4000000000000005E-2</v>
      </c>
    </row>
    <row r="97" spans="1:18" ht="20">
      <c r="A97" s="5" t="s">
        <v>82</v>
      </c>
      <c r="B97" s="1" t="s">
        <v>92</v>
      </c>
      <c r="C97" s="1" t="s">
        <v>92</v>
      </c>
      <c r="D97" s="1" t="s">
        <v>92</v>
      </c>
      <c r="E97" s="1" t="s">
        <v>92</v>
      </c>
      <c r="F97" s="1" t="s">
        <v>92</v>
      </c>
      <c r="G97" s="1">
        <v>-7904000</v>
      </c>
      <c r="H97" s="1" t="s">
        <v>92</v>
      </c>
      <c r="I97" s="1" t="s">
        <v>92</v>
      </c>
      <c r="P97" s="37" t="s">
        <v>133</v>
      </c>
      <c r="Q97" s="38">
        <f>(Q94)+((Q95)*(Q96-Q94))</f>
        <v>0.10435834500000001</v>
      </c>
    </row>
    <row r="98" spans="1:18" ht="19">
      <c r="A98" s="5" t="s">
        <v>83</v>
      </c>
      <c r="B98" s="1" t="s">
        <v>92</v>
      </c>
      <c r="C98" s="1">
        <v>-68000000</v>
      </c>
      <c r="D98" s="1" t="s">
        <v>92</v>
      </c>
      <c r="E98" s="1" t="s">
        <v>92</v>
      </c>
      <c r="F98" s="1" t="s">
        <v>92</v>
      </c>
      <c r="G98" s="1" t="s">
        <v>92</v>
      </c>
      <c r="H98" s="1" t="s">
        <v>92</v>
      </c>
      <c r="I98" s="1" t="s">
        <v>92</v>
      </c>
      <c r="P98" s="70" t="s">
        <v>134</v>
      </c>
      <c r="Q98" s="71"/>
    </row>
    <row r="99" spans="1:18" ht="20">
      <c r="A99" s="5" t="s">
        <v>84</v>
      </c>
      <c r="B99" s="1">
        <v>26759000</v>
      </c>
      <c r="C99" s="1">
        <v>176979000</v>
      </c>
      <c r="D99" s="1">
        <v>24977000</v>
      </c>
      <c r="E99" s="1">
        <v>1510000</v>
      </c>
      <c r="F99" s="1" t="s">
        <v>92</v>
      </c>
      <c r="G99" s="1">
        <v>-771000</v>
      </c>
      <c r="H99" s="1">
        <v>18853000</v>
      </c>
      <c r="I99" s="1">
        <v>50218000</v>
      </c>
      <c r="P99" s="24" t="s">
        <v>135</v>
      </c>
      <c r="Q99" s="25">
        <f>Q86+Q87</f>
        <v>117001000</v>
      </c>
    </row>
    <row r="100" spans="1:18" ht="20">
      <c r="A100" s="6" t="s">
        <v>85</v>
      </c>
      <c r="B100" s="10">
        <v>-4941000</v>
      </c>
      <c r="C100" s="10">
        <v>8310000</v>
      </c>
      <c r="D100" s="10">
        <v>-7195000</v>
      </c>
      <c r="E100" s="10">
        <v>-5564000</v>
      </c>
      <c r="F100" s="10" t="s">
        <v>92</v>
      </c>
      <c r="G100" s="10">
        <v>-16675000</v>
      </c>
      <c r="H100" s="10">
        <v>-11400000</v>
      </c>
      <c r="I100" s="10">
        <v>-29110000</v>
      </c>
      <c r="P100" s="35" t="s">
        <v>136</v>
      </c>
      <c r="Q100" s="36">
        <f>Q99/Q103</f>
        <v>2.0864453480833343E-2</v>
      </c>
    </row>
    <row r="101" spans="1:18" ht="20">
      <c r="A101" s="5" t="s">
        <v>86</v>
      </c>
      <c r="B101" s="1" t="s">
        <v>92</v>
      </c>
      <c r="C101" s="1" t="s">
        <v>92</v>
      </c>
      <c r="D101" s="1" t="s">
        <v>92</v>
      </c>
      <c r="E101" s="1" t="s">
        <v>92</v>
      </c>
      <c r="F101" s="1" t="s">
        <v>92</v>
      </c>
      <c r="G101" s="1" t="s">
        <v>92</v>
      </c>
      <c r="H101" s="1" t="s">
        <v>92</v>
      </c>
      <c r="I101" s="1" t="s">
        <v>92</v>
      </c>
      <c r="P101" s="24" t="s">
        <v>137</v>
      </c>
      <c r="Q101" s="41" cm="1">
        <f t="array" ref="Q101">_FV(A1,"Market cap",TRUE)</f>
        <v>5490670445</v>
      </c>
    </row>
    <row r="102" spans="1:18" ht="20">
      <c r="A102" s="6" t="s">
        <v>87</v>
      </c>
      <c r="B102" s="10">
        <v>9336000</v>
      </c>
      <c r="C102" s="10">
        <v>1291000</v>
      </c>
      <c r="D102" s="10">
        <v>-5236000</v>
      </c>
      <c r="E102" s="10">
        <v>41146000</v>
      </c>
      <c r="F102" s="10" t="s">
        <v>92</v>
      </c>
      <c r="G102" s="10">
        <v>-7707000</v>
      </c>
      <c r="H102" s="10">
        <v>11601000</v>
      </c>
      <c r="I102" s="10">
        <v>-14415000</v>
      </c>
      <c r="P102" s="35" t="s">
        <v>138</v>
      </c>
      <c r="Q102" s="36">
        <f>Q101/Q103</f>
        <v>0.97913554651916668</v>
      </c>
    </row>
    <row r="103" spans="1:18" ht="20">
      <c r="A103" s="5" t="s">
        <v>88</v>
      </c>
      <c r="B103" s="1">
        <v>4668000</v>
      </c>
      <c r="C103" s="1">
        <v>14004000</v>
      </c>
      <c r="D103" s="1">
        <v>15295000</v>
      </c>
      <c r="E103" s="1">
        <v>10059000</v>
      </c>
      <c r="F103" s="1" t="s">
        <v>92</v>
      </c>
      <c r="G103" s="1">
        <v>53874000</v>
      </c>
      <c r="H103" s="1">
        <v>46167000</v>
      </c>
      <c r="I103" s="1">
        <v>57768000</v>
      </c>
      <c r="P103" s="37" t="s">
        <v>139</v>
      </c>
      <c r="Q103" s="42">
        <f>Q99+Q101</f>
        <v>5607671445</v>
      </c>
    </row>
    <row r="104" spans="1:18" ht="20" thickBot="1">
      <c r="A104" s="7" t="s">
        <v>89</v>
      </c>
      <c r="B104" s="11">
        <v>14004000</v>
      </c>
      <c r="C104" s="11">
        <v>15295000</v>
      </c>
      <c r="D104" s="11">
        <v>10059000</v>
      </c>
      <c r="E104" s="11">
        <v>51205000</v>
      </c>
      <c r="F104" s="11" t="s">
        <v>92</v>
      </c>
      <c r="G104" s="11">
        <v>46167000</v>
      </c>
      <c r="H104" s="11">
        <v>57768000</v>
      </c>
      <c r="I104" s="11">
        <v>43353000</v>
      </c>
      <c r="P104" s="70" t="s">
        <v>140</v>
      </c>
      <c r="Q104" s="71"/>
    </row>
    <row r="105" spans="1:18" ht="21" thickTop="1">
      <c r="A105" s="14" t="s">
        <v>107</v>
      </c>
      <c r="B105" s="1"/>
      <c r="C105" s="15">
        <f>(C106/B106)-1</f>
        <v>-1.4975134832247672</v>
      </c>
      <c r="D105" s="15">
        <f>(D106/C106)-1</f>
        <v>-1.6805575109108828</v>
      </c>
      <c r="E105" s="15">
        <f>(E106/D106)-1</f>
        <v>8.6628051303268521</v>
      </c>
      <c r="F105" s="15" t="e">
        <f>(F106/E106)-1</f>
        <v>#VALUE!</v>
      </c>
      <c r="G105" s="15" t="e">
        <f>(G106/F106)-1</f>
        <v>#VALUE!</v>
      </c>
      <c r="H105" s="15">
        <f t="shared" ref="H105" si="22">(H106/G106)-1</f>
        <v>-0.34077555816686256</v>
      </c>
      <c r="I105" s="15">
        <f>(I106/H106)-1</f>
        <v>-0.3611147341419938</v>
      </c>
      <c r="J105" s="15"/>
      <c r="K105" s="15"/>
      <c r="L105" s="15"/>
      <c r="M105" s="15"/>
      <c r="N105" s="15"/>
      <c r="O105" s="15"/>
      <c r="P105" s="26" t="s">
        <v>108</v>
      </c>
      <c r="Q105" s="27">
        <f>(Q100*Q92)+(Q102*Q97)</f>
        <v>0.10250352621823199</v>
      </c>
      <c r="R105" s="15"/>
    </row>
    <row r="106" spans="1:18" ht="19">
      <c r="A106" s="5" t="s">
        <v>90</v>
      </c>
      <c r="B106" s="1">
        <v>14277000</v>
      </c>
      <c r="C106" s="1">
        <v>-7103000</v>
      </c>
      <c r="D106" s="1">
        <v>4834000</v>
      </c>
      <c r="E106" s="1">
        <v>46710000</v>
      </c>
      <c r="F106" s="1" t="s">
        <v>92</v>
      </c>
      <c r="G106" s="1">
        <v>34891000</v>
      </c>
      <c r="H106" s="1">
        <v>23001000</v>
      </c>
      <c r="I106" s="1">
        <v>14695000</v>
      </c>
      <c r="J106" s="65">
        <f>I107*(1+$Q$106)</f>
        <v>86883298.101775736</v>
      </c>
      <c r="K106" s="43">
        <f t="shared" ref="K106:N106" si="23">J106*(1+$Q$106)</f>
        <v>100649433.18722704</v>
      </c>
      <c r="L106" s="43">
        <f t="shared" si="23"/>
        <v>116596729.43174143</v>
      </c>
      <c r="M106" s="43">
        <f t="shared" si="23"/>
        <v>135070778.67880106</v>
      </c>
      <c r="N106" s="43">
        <f t="shared" si="23"/>
        <v>156471929.71718997</v>
      </c>
      <c r="O106" s="44" t="s">
        <v>141</v>
      </c>
      <c r="P106" s="45" t="s">
        <v>142</v>
      </c>
      <c r="Q106" s="46">
        <f>(SUM(J4:N4)/5)</f>
        <v>0.15844397469034316</v>
      </c>
    </row>
    <row r="107" spans="1:18" ht="19">
      <c r="A107" s="5"/>
      <c r="B107" s="13"/>
      <c r="C107" s="13"/>
      <c r="D107" s="13"/>
      <c r="E107" s="13"/>
      <c r="F107" s="13"/>
      <c r="G107" s="13"/>
      <c r="H107" s="13"/>
      <c r="I107" s="1">
        <v>75000000</v>
      </c>
      <c r="J107" s="44"/>
      <c r="K107" s="44"/>
      <c r="L107" s="44"/>
      <c r="M107" s="44"/>
      <c r="N107" s="47">
        <f>N106*(1+Q107)/(Q108-Q107)</f>
        <v>2069373301.9129512</v>
      </c>
      <c r="O107" s="48" t="s">
        <v>143</v>
      </c>
      <c r="P107" s="49" t="s">
        <v>144</v>
      </c>
      <c r="Q107" s="50">
        <v>2.5000000000000001E-2</v>
      </c>
    </row>
    <row r="108" spans="1:18" ht="19">
      <c r="J108" s="47">
        <f t="shared" ref="J108:L108" si="24">J107+J106</f>
        <v>86883298.101775736</v>
      </c>
      <c r="K108" s="47">
        <f t="shared" si="24"/>
        <v>100649433.18722704</v>
      </c>
      <c r="L108" s="47">
        <f t="shared" si="24"/>
        <v>116596729.43174143</v>
      </c>
      <c r="M108" s="47">
        <f>M107+M106</f>
        <v>135070778.67880106</v>
      </c>
      <c r="N108" s="47">
        <f>N107+N106</f>
        <v>2225845231.6301413</v>
      </c>
      <c r="O108" s="48" t="s">
        <v>139</v>
      </c>
      <c r="P108" s="51" t="s">
        <v>145</v>
      </c>
      <c r="Q108" s="52">
        <f>Q105</f>
        <v>0.10250352621823199</v>
      </c>
    </row>
    <row r="109" spans="1:18" ht="19">
      <c r="J109" s="66" t="s">
        <v>146</v>
      </c>
      <c r="K109" s="67"/>
    </row>
    <row r="110" spans="1:18" ht="20">
      <c r="J110" s="53" t="s">
        <v>147</v>
      </c>
      <c r="K110" s="41">
        <f>NPV(Q108,J108,K108,L108,M108,N108)</f>
        <v>1706488994.2149491</v>
      </c>
    </row>
    <row r="111" spans="1:18" ht="20">
      <c r="J111" s="53" t="s">
        <v>148</v>
      </c>
      <c r="K111" s="41">
        <f>I40</f>
        <v>43353000</v>
      </c>
    </row>
    <row r="112" spans="1:18" ht="20">
      <c r="J112" s="53" t="s">
        <v>135</v>
      </c>
      <c r="K112" s="41">
        <f>Q99</f>
        <v>117001000</v>
      </c>
    </row>
    <row r="113" spans="10:11" ht="20">
      <c r="J113" s="53" t="s">
        <v>149</v>
      </c>
      <c r="K113" s="41">
        <f>K110+K111-K112</f>
        <v>1632840994.2149491</v>
      </c>
    </row>
    <row r="114" spans="10:11" ht="20">
      <c r="J114" s="53" t="s">
        <v>150</v>
      </c>
      <c r="K114" s="54">
        <f>I34*(1+(5*O16))</f>
        <v>61044006.21797929</v>
      </c>
    </row>
    <row r="115" spans="10:11" ht="20">
      <c r="J115" s="55" t="s">
        <v>151</v>
      </c>
      <c r="K115" s="56">
        <f>K113/K114</f>
        <v>26.7485883607362</v>
      </c>
    </row>
    <row r="116" spans="10:11" ht="20">
      <c r="J116" s="53" t="s">
        <v>152</v>
      </c>
      <c r="K116" s="57" cm="1">
        <f t="array" ref="K116">_FV(A1,"Price")</f>
        <v>101.93</v>
      </c>
    </row>
    <row r="117" spans="10:11" ht="20">
      <c r="J117" s="58" t="s">
        <v>153</v>
      </c>
      <c r="K117" s="59">
        <f>K115/K116-1</f>
        <v>-0.73757884469011881</v>
      </c>
    </row>
    <row r="118" spans="10:11" ht="20">
      <c r="J118" s="58" t="s">
        <v>154</v>
      </c>
      <c r="K118" s="60" t="str">
        <f>IF(K115&gt;K116,"BUY","SELL")</f>
        <v>SELL</v>
      </c>
    </row>
  </sheetData>
  <mergeCells count="6">
    <mergeCell ref="J109:K109"/>
    <mergeCell ref="P83:Q83"/>
    <mergeCell ref="P84:Q84"/>
    <mergeCell ref="P93:Q93"/>
    <mergeCell ref="P98:Q98"/>
    <mergeCell ref="P104:Q104"/>
  </mergeCells>
  <hyperlinks>
    <hyperlink ref="A1" r:id="rId1" tooltip="https://roic.ai/company/ELF" display="ROIC.AI | ELF" xr:uid="{00000000-0004-0000-0000-000000000000}"/>
    <hyperlink ref="B36" r:id="rId2" tooltip="https://sec.gov" xr:uid="{00000000-0004-0000-0000-000001000000}"/>
    <hyperlink ref="B74" r:id="rId3" tooltip="https://sec.gov" xr:uid="{00000000-0004-0000-0000-000002000000}"/>
    <hyperlink ref="C36" r:id="rId4" tooltip="https://www.sec.gov/Archives/edgar/data/1600033/000156459017004450/0001564590-17-004450-index.htm" xr:uid="{00000000-0004-0000-0000-000004000000}"/>
    <hyperlink ref="C74" r:id="rId5" tooltip="https://www.sec.gov/Archives/edgar/data/1600033/000156459017004450/0001564590-17-004450-index.htm" xr:uid="{00000000-0004-0000-0000-000005000000}"/>
    <hyperlink ref="D36" r:id="rId6" tooltip="https://www.sec.gov/Archives/edgar/data/1600033/000160003318000014/0001600033-18-000014-index.htm" xr:uid="{00000000-0004-0000-0000-000007000000}"/>
    <hyperlink ref="D74" r:id="rId7" tooltip="https://www.sec.gov/Archives/edgar/data/1600033/000160003318000014/0001600033-18-000014-index.htm" xr:uid="{00000000-0004-0000-0000-000008000000}"/>
    <hyperlink ref="E36" r:id="rId8" tooltip="https://www.sec.gov/Archives/edgar/data/1600033/000160003319000011/0001600033-19-000011-index.htm" xr:uid="{00000000-0004-0000-0000-00000A000000}"/>
    <hyperlink ref="E74" r:id="rId9" tooltip="https://www.sec.gov/Archives/edgar/data/1600033/000160003319000011/0001600033-19-000011-index.htm"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600033/000160003321000030/0001600033-21-000030-index.htm" xr:uid="{00000000-0004-0000-0000-000013000000}"/>
    <hyperlink ref="H74" r:id="rId15" tooltip="https://www.sec.gov/Archives/edgar/data/1600033/000160003321000030/0001600033-21-000030-index.htm" xr:uid="{00000000-0004-0000-0000-000014000000}"/>
    <hyperlink ref="I36" r:id="rId16" tooltip="https://www.sec.gov/Archives/edgar/data/1600033/000160003322000027/0001600033-22-000027-index.htm" xr:uid="{00000000-0004-0000-0000-000016000000}"/>
    <hyperlink ref="I74" r:id="rId17" tooltip="https://www.sec.gov/Archives/edgar/data/1600033/000160003322000027/0001600033-22-000027-index.htm" xr:uid="{00000000-0004-0000-0000-000017000000}"/>
    <hyperlink ref="J1" r:id="rId18" display="https://finbox.com/NYSE:ELF/explorer/revenue_proj" xr:uid="{3C7D420B-54AA-3E4A-A648-BF685D03E02A}"/>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2023-03-13T20:33:07Z</dcterms:created>
  <dcterms:modified xsi:type="dcterms:W3CDTF">2023-06-15T07:57:54Z</dcterms:modified>
</cp:coreProperties>
</file>