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3A0551A5-E868-F14C-9461-021BDCE36D12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1" l="1"/>
  <c r="AC13" i="1"/>
  <c r="AB13" i="1"/>
  <c r="AB10" i="1"/>
  <c r="AD7" i="1"/>
  <c r="AB7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C108" i="2" l="1"/>
  <c r="D105" i="2"/>
  <c r="K16" i="2"/>
  <c r="I16" i="2"/>
  <c r="J102" i="2"/>
  <c r="J19" i="2"/>
  <c r="J16" i="2"/>
  <c r="J22" i="2"/>
  <c r="K19" i="2"/>
  <c r="K22" i="2"/>
  <c r="I19" i="2"/>
  <c r="J100" i="2"/>
  <c r="D112" i="2"/>
  <c r="W108" i="1"/>
  <c r="X108" i="1"/>
  <c r="Y108" i="1"/>
  <c r="Z108" i="1"/>
  <c r="X105" i="1"/>
  <c r="Y105" i="1" s="1"/>
  <c r="Z105" i="1" s="1"/>
  <c r="AA105" i="1" s="1"/>
  <c r="W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95" i="1" a="1"/>
  <c r="AD95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D13" i="1"/>
  <c r="AE10" i="1"/>
  <c r="AD10" i="1"/>
  <c r="AC10" i="1"/>
  <c r="AE7" i="1"/>
  <c r="AC7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V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D108" i="2" l="1"/>
  <c r="E105" i="2"/>
  <c r="AD19" i="1"/>
  <c r="AE22" i="1"/>
  <c r="AD22" i="1"/>
  <c r="AC19" i="1"/>
  <c r="AD16" i="1"/>
  <c r="AE16" i="1"/>
  <c r="AC16" i="1"/>
  <c r="AD106" i="1"/>
  <c r="X112" i="1"/>
  <c r="AD103" i="1"/>
  <c r="AD102" i="1" s="1"/>
  <c r="E108" i="2" l="1"/>
  <c r="F105" i="2"/>
  <c r="AE19" i="1"/>
  <c r="AD100" i="1"/>
  <c r="F108" i="2" l="1"/>
  <c r="G105" i="2"/>
  <c r="J94" i="2" l="1"/>
  <c r="J97" i="2" s="1"/>
  <c r="J105" i="2" s="1"/>
  <c r="J108" i="2" s="1"/>
  <c r="AD94" i="1"/>
  <c r="AD97" i="1" s="1"/>
  <c r="AD105" i="1" s="1"/>
  <c r="AD108" i="1" s="1"/>
  <c r="AA107" i="1" l="1"/>
  <c r="AA108" i="1" s="1"/>
  <c r="X110" i="1"/>
  <c r="X113" i="1" s="1"/>
  <c r="X115" i="1" s="1"/>
  <c r="D110" i="2"/>
  <c r="D113" i="2" s="1"/>
  <c r="D115" i="2" s="1"/>
  <c r="G107" i="2"/>
  <c r="G108" i="2" s="1"/>
  <c r="D118" i="2" l="1"/>
  <c r="D117" i="2"/>
  <c r="X118" i="1"/>
  <c r="X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<sst xmlns="http://schemas.openxmlformats.org/spreadsheetml/2006/main" count="1031" uniqueCount="167">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</sst>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00876257403424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Holdings"/>
      <sheetName val="Treasuries"/>
      <sheetName val="All Stars"/>
      <sheetName val="ROIC Port"/>
      <sheetName val="To Be Modeled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C8">
            <v>3.7280000000000001E-2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1.3318000000000001</v>
    <v>-3.23</v>
    <v>-7.1599999999999997E-3</v>
    <v>-0.72</v>
    <v>-1.6070000000000001E-3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454.62</v>
    <v>Specialty Retailers</v>
    <v>Stock</v>
    <v>45093.999662314061</v>
    <v>0</v>
    <v>442.4</v>
    <v>22306630176</v>
    <v>ULTA BEAUTY, INC.</v>
    <v>ULTA BEAUTY, INC.</v>
    <v>454.62</v>
    <v>18.349</v>
    <v>451.14</v>
    <v>447.91</v>
    <v>447.19</v>
    <v>49801590</v>
    <v>ULTA</v>
    <v>ULTA BEAUTY, INC. (XNAS:ULTA)</v>
    <v>1865692</v>
    <v>1423289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zoomScale="80" zoomScaleNormal="80" workbookViewId="0">
      <pane xSplit="1" ySplit="1" topLeftCell="S74" activePane="bottomRight" state="frozen"/>
      <selection pane="topRight"/>
      <selection pane="bottomLeft"/>
      <selection pane="bottomRight" activeCell="AJ88" sqref="AJ88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2027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11092000000</v>
      </c>
      <c r="X3" s="26">
        <v>11653000000</v>
      </c>
      <c r="Y3" s="26">
        <v>12390000000</v>
      </c>
      <c r="Z3" s="26">
        <v>12944000000</v>
      </c>
      <c r="AA3" s="26">
        <v>13613000000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AA4" si="0">(F3/E3)-1</f>
        <v>0.30399861848637921</v>
      </c>
      <c r="G4" s="15">
        <f t="shared" si="0"/>
        <v>0.20795298187158751</v>
      </c>
      <c r="H4" s="16">
        <f t="shared" si="0"/>
        <v>0.18912098019933321</v>
      </c>
      <c r="I4" s="16">
        <f t="shared" si="0"/>
        <v>0.12734569619949743</v>
      </c>
      <c r="J4" s="16">
        <f t="shared" si="0"/>
        <v>0.18978778528440721</v>
      </c>
      <c r="K4" s="16">
        <f t="shared" si="0"/>
        <v>0.22085826738097292</v>
      </c>
      <c r="L4" s="16">
        <f t="shared" si="0"/>
        <v>0.25003786277180273</v>
      </c>
      <c r="M4" s="16">
        <f t="shared" si="0"/>
        <v>0.20282210700027381</v>
      </c>
      <c r="N4" s="16">
        <f t="shared" si="0"/>
        <v>0.2137354043495534</v>
      </c>
      <c r="O4" s="16">
        <f t="shared" si="0"/>
        <v>0.21063538276573879</v>
      </c>
      <c r="P4" s="16">
        <f t="shared" si="0"/>
        <v>0.23715430430700835</v>
      </c>
      <c r="Q4" s="16">
        <f t="shared" si="0"/>
        <v>0.21211633091555737</v>
      </c>
      <c r="R4" s="16">
        <f t="shared" si="0"/>
        <v>0.14140677229320531</v>
      </c>
      <c r="S4" s="16">
        <f t="shared" si="0"/>
        <v>0.10145780277714289</v>
      </c>
      <c r="T4" s="16">
        <f t="shared" si="0"/>
        <v>-0.16843789486660576</v>
      </c>
      <c r="U4" s="16">
        <f t="shared" si="0"/>
        <v>0.40295106285759985</v>
      </c>
      <c r="V4" s="16">
        <f t="shared" si="0"/>
        <v>0.18272868530692499</v>
      </c>
      <c r="W4" s="16">
        <f t="shared" si="0"/>
        <v>8.6598746081504752E-2</v>
      </c>
      <c r="X4" s="16">
        <f t="shared" si="0"/>
        <v>5.0576992426974332E-2</v>
      </c>
      <c r="Y4" s="16">
        <f t="shared" si="0"/>
        <v>6.3245516176092087E-2</v>
      </c>
      <c r="Z4" s="16">
        <f t="shared" si="0"/>
        <v>4.4713478611783763E-2</v>
      </c>
      <c r="AA4" s="16">
        <f t="shared" si="0"/>
        <v>5.1684177997527891E-2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112</v>
      </c>
      <c r="AC6" s="19" t="s">
        <v>113</v>
      </c>
      <c r="AD6" s="19" t="s">
        <v>114</v>
      </c>
      <c r="AE6" s="19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V107/V3</f>
        <v>0.11461598746081504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2">C12/C3</f>
        <v>0.23225900821727774</v>
      </c>
      <c r="D13" s="15" t="e">
        <f t="shared" si="2"/>
        <v>#VALUE!</v>
      </c>
      <c r="E13" s="15">
        <f t="shared" si="2"/>
        <v>0.2501523982213012</v>
      </c>
      <c r="F13" s="15">
        <f t="shared" si="2"/>
        <v>0.25836662857082315</v>
      </c>
      <c r="G13" s="15">
        <f t="shared" si="2"/>
        <v>0.25974602610780573</v>
      </c>
      <c r="H13" s="15">
        <f t="shared" si="2"/>
        <v>0.25965430195658307</v>
      </c>
      <c r="I13" s="15">
        <f t="shared" si="2"/>
        <v>0.24934840620197896</v>
      </c>
      <c r="J13" s="15">
        <f t="shared" si="2"/>
        <v>0.25102520005663859</v>
      </c>
      <c r="K13" s="15">
        <f t="shared" si="2"/>
        <v>0.23120669357503951</v>
      </c>
      <c r="L13" s="15">
        <f t="shared" si="2"/>
        <v>0.22019082484182004</v>
      </c>
      <c r="M13" s="15">
        <f t="shared" si="2"/>
        <v>0.22331911541081259</v>
      </c>
      <c r="N13" s="15">
        <f t="shared" si="2"/>
        <v>0.21966212424441647</v>
      </c>
      <c r="O13" s="15">
        <f t="shared" si="2"/>
        <v>0.22001235437484518</v>
      </c>
      <c r="P13" s="15">
        <f t="shared" si="2"/>
        <v>0.22119303270187449</v>
      </c>
      <c r="Q13" s="15">
        <f t="shared" si="2"/>
        <v>0.21874937335436484</v>
      </c>
      <c r="R13" s="15">
        <f t="shared" si="2"/>
        <v>0.22860682054874368</v>
      </c>
      <c r="S13" s="15">
        <f t="shared" si="2"/>
        <v>0.23799673103842786</v>
      </c>
      <c r="T13" s="15">
        <f t="shared" si="2"/>
        <v>0.25731942360417903</v>
      </c>
      <c r="U13" s="15">
        <f t="shared" si="2"/>
        <v>0.23885662299677357</v>
      </c>
      <c r="V13" s="15">
        <f t="shared" si="2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AD101/V3</f>
        <v>2.1852106363636365</v>
      </c>
      <c r="AD16" s="64">
        <f>AD101/V28</f>
        <v>17.954351691231867</v>
      </c>
      <c r="AE16" s="65">
        <f>AD101/V107</f>
        <v>19.065495876923077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1927000000</v>
      </c>
      <c r="X19" s="59">
        <v>1997000000</v>
      </c>
      <c r="Y19" s="59">
        <v>2158000000</v>
      </c>
      <c r="Z19" s="59">
        <v>2301000000</v>
      </c>
      <c r="AA19" s="59">
        <v>2440000000</v>
      </c>
      <c r="AB19" s="46">
        <f>V40-V56-V61</f>
        <v>-1165299000</v>
      </c>
      <c r="AC19" s="64">
        <f>AD101/W3</f>
        <v>2.0110557316985216</v>
      </c>
      <c r="AD19" s="66">
        <f>AD101/W28</f>
        <v>17.619771071090046</v>
      </c>
      <c r="AE19" s="65">
        <f>AD101/W106</f>
        <v>22.722451029846184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3">(F19/E19)-1</f>
        <v>0.36408384265146232</v>
      </c>
      <c r="G20" s="15">
        <f t="shared" si="3"/>
        <v>0.22811607277101187</v>
      </c>
      <c r="H20" s="15">
        <f t="shared" si="3"/>
        <v>0.19666511593741576</v>
      </c>
      <c r="I20" s="15">
        <f t="shared" si="3"/>
        <v>0.3332412579542896</v>
      </c>
      <c r="J20" s="15">
        <f t="shared" si="3"/>
        <v>0.4105387549014341</v>
      </c>
      <c r="K20" s="15">
        <f t="shared" si="3"/>
        <v>0.4803938635621805</v>
      </c>
      <c r="L20" s="15">
        <f t="shared" si="3"/>
        <v>0.35309011266839629</v>
      </c>
      <c r="M20" s="15">
        <f t="shared" si="3"/>
        <v>0.17896260567989541</v>
      </c>
      <c r="N20" s="15">
        <f t="shared" si="3"/>
        <v>0.25307124741135256</v>
      </c>
      <c r="O20" s="15">
        <f t="shared" si="3"/>
        <v>0.23836923931047282</v>
      </c>
      <c r="P20" s="15">
        <f t="shared" si="3"/>
        <v>0.28690293810270306</v>
      </c>
      <c r="Q20" s="15">
        <f t="shared" si="3"/>
        <v>0.20099342599310877</v>
      </c>
      <c r="R20" s="15">
        <f t="shared" si="3"/>
        <v>9.8482432717982293E-2</v>
      </c>
      <c r="S20" s="15">
        <f t="shared" si="3"/>
        <v>5.5200170678007865E-2</v>
      </c>
      <c r="T20" s="15">
        <f t="shared" si="3"/>
        <v>-0.56652317482940484</v>
      </c>
      <c r="U20" s="15">
        <f t="shared" si="3"/>
        <v>1.9871158161958395</v>
      </c>
      <c r="V20" s="15">
        <f t="shared" si="3"/>
        <v>0.12058803578079469</v>
      </c>
      <c r="W20" s="16">
        <f t="shared" ref="W20" si="4">(W19/V19)-1</f>
        <v>0.10047628293719235</v>
      </c>
      <c r="X20" s="16">
        <f t="shared" ref="X20" si="5">(X19/W19)-1</f>
        <v>3.6325895173845435E-2</v>
      </c>
      <c r="Y20" s="16">
        <f t="shared" ref="Y20" si="6">(Y19/X19)-1</f>
        <v>8.0620931397095585E-2</v>
      </c>
      <c r="Z20" s="16">
        <f t="shared" ref="Z20" si="7">(Z19/Y19)-1</f>
        <v>6.6265060240963791E-2</v>
      </c>
      <c r="AA20" s="16">
        <f t="shared" ref="AA20" si="8">(AA19/Z19)-1</f>
        <v>6.0408518035636627E-2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0.17372881355932204</v>
      </c>
      <c r="X21" s="60">
        <f t="shared" ref="X21:AA21" si="9">X19/X3</f>
        <v>0.17137217883806746</v>
      </c>
      <c r="Y21" s="60">
        <f t="shared" si="9"/>
        <v>0.17417271993543179</v>
      </c>
      <c r="Z21" s="60">
        <f t="shared" si="9"/>
        <v>0.17776576019777504</v>
      </c>
      <c r="AA21" s="60">
        <f t="shared" si="9"/>
        <v>0.17924043194005729</v>
      </c>
      <c r="AD21" s="18" t="s">
        <v>165</v>
      </c>
      <c r="AE21" s="19" t="s">
        <v>166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D22" s="69">
        <f>(-1*V98)/AD101</f>
        <v>0</v>
      </c>
      <c r="AE22" s="70">
        <f>V107/AD101</f>
        <v>5.2450773190242717E-2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1266000000</v>
      </c>
      <c r="X28" s="61">
        <v>1318000000</v>
      </c>
      <c r="Y28" s="61">
        <v>1411000000</v>
      </c>
      <c r="Z28" s="61">
        <v>1456000000</v>
      </c>
      <c r="AA28" s="61">
        <v>1540000000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0">(F28/E28)-1</f>
        <v>0.41167261569290492</v>
      </c>
      <c r="G29" s="15">
        <f t="shared" si="10"/>
        <v>0.12385219358559207</v>
      </c>
      <c r="H29" s="15">
        <f t="shared" si="10"/>
        <v>-2.6445628577067559E-3</v>
      </c>
      <c r="I29" s="15">
        <f t="shared" si="10"/>
        <v>0.55754313756529994</v>
      </c>
      <c r="J29" s="15">
        <f t="shared" si="10"/>
        <v>0.80480739912592747</v>
      </c>
      <c r="K29" s="15">
        <f t="shared" si="10"/>
        <v>0.69314374208081087</v>
      </c>
      <c r="L29" s="15">
        <f t="shared" si="10"/>
        <v>0.43475187919909541</v>
      </c>
      <c r="M29" s="15">
        <f t="shared" si="10"/>
        <v>0.17560229268207861</v>
      </c>
      <c r="N29" s="15">
        <f t="shared" si="10"/>
        <v>0.26761778465755315</v>
      </c>
      <c r="O29" s="15">
        <f t="shared" si="10"/>
        <v>0.24451358235946108</v>
      </c>
      <c r="P29" s="15">
        <f t="shared" si="10"/>
        <v>0.28046798830029251</v>
      </c>
      <c r="Q29" s="15">
        <f t="shared" si="10"/>
        <v>0.35502245216712214</v>
      </c>
      <c r="R29" s="15">
        <f t="shared" si="10"/>
        <v>0.18609271046081477</v>
      </c>
      <c r="S29" s="15">
        <f t="shared" si="10"/>
        <v>7.1954069415192778E-2</v>
      </c>
      <c r="T29" s="15">
        <f t="shared" si="10"/>
        <v>-0.7509225222928132</v>
      </c>
      <c r="U29" s="15">
        <f t="shared" si="10"/>
        <v>4.6066027810162939</v>
      </c>
      <c r="V29" s="15">
        <f t="shared" si="10"/>
        <v>0.26025702017676355</v>
      </c>
      <c r="W29" s="16">
        <f t="shared" ref="W29" si="11">(W28/V28)-1</f>
        <v>1.8988931172368551E-2</v>
      </c>
      <c r="X29" s="16">
        <f t="shared" ref="X29" si="12">(X28/W28)-1</f>
        <v>4.1074249605055346E-2</v>
      </c>
      <c r="Y29" s="16">
        <f t="shared" ref="Y29" si="13">(Y28/X28)-1</f>
        <v>7.0561456752655571E-2</v>
      </c>
      <c r="Z29" s="16">
        <f t="shared" ref="Z29" si="14">(Z28/Y28)-1</f>
        <v>3.1892274982282087E-2</v>
      </c>
      <c r="AA29" s="16">
        <f t="shared" ref="AA29" si="15">(AA28/Z28)-1</f>
        <v>5.7692307692307709E-2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6">W28/W3</f>
        <v>0.1141363144608727</v>
      </c>
      <c r="X30" s="62">
        <f t="shared" si="16"/>
        <v>0.11310392173689179</v>
      </c>
      <c r="Y30" s="62">
        <f t="shared" si="16"/>
        <v>0.11388216303470541</v>
      </c>
      <c r="Z30" s="62">
        <f t="shared" si="16"/>
        <v>0.11248454882571075</v>
      </c>
      <c r="AA30" s="62">
        <f t="shared" si="16"/>
        <v>0.11312715786380666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25.27</v>
      </c>
      <c r="X31" s="63">
        <v>26.32</v>
      </c>
      <c r="Y31" s="63">
        <v>28.17</v>
      </c>
      <c r="Z31" s="63">
        <v>29.07</v>
      </c>
      <c r="AA31" s="63">
        <v>30.74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7">(D34-C34)/C34</f>
        <v>0.36448348348348347</v>
      </c>
      <c r="E35" s="22">
        <f t="shared" si="17"/>
        <v>14.153138815152182</v>
      </c>
      <c r="F35" s="22">
        <f t="shared" si="17"/>
        <v>3.577741749148896E-2</v>
      </c>
      <c r="G35" s="22">
        <f t="shared" si="17"/>
        <v>6.7555769637838922E-2</v>
      </c>
      <c r="H35" s="22">
        <f t="shared" si="17"/>
        <v>0.10646801643743081</v>
      </c>
      <c r="I35" s="22">
        <f t="shared" si="17"/>
        <v>4.578832228195431E-3</v>
      </c>
      <c r="J35" s="22">
        <f t="shared" si="17"/>
        <v>3.4623630501207016E-2</v>
      </c>
      <c r="K35" s="22">
        <f t="shared" si="17"/>
        <v>3.338337031719097E-2</v>
      </c>
      <c r="L35" s="22">
        <f t="shared" si="17"/>
        <v>1.6768244544794267E-2</v>
      </c>
      <c r="M35" s="22">
        <f t="shared" si="17"/>
        <v>1.0093794645630162E-3</v>
      </c>
      <c r="N35" s="22">
        <f t="shared" si="17"/>
        <v>2.947518654690433E-3</v>
      </c>
      <c r="O35" s="22">
        <f t="shared" si="17"/>
        <v>-5.8158419823359266E-3</v>
      </c>
      <c r="P35" s="22">
        <f t="shared" si="17"/>
        <v>-2.2154803578374172E-2</v>
      </c>
      <c r="Q35" s="22">
        <f t="shared" si="17"/>
        <v>-1.3937725732287473E-2</v>
      </c>
      <c r="R35" s="22">
        <f t="shared" si="17"/>
        <v>-2.8947156111335217E-2</v>
      </c>
      <c r="S35" s="22">
        <f t="shared" si="17"/>
        <v>-3.4495937255944568E-2</v>
      </c>
      <c r="T35" s="22">
        <f t="shared" si="17"/>
        <v>-2.6624214783581446E-2</v>
      </c>
      <c r="U35" s="22">
        <f t="shared" si="17"/>
        <v>-3.0358216344283744E-2</v>
      </c>
      <c r="V35" s="22">
        <f t="shared" si="17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>
        <f t="shared" si="18"/>
        <v>3.5744381116050768E-3</v>
      </c>
      <c r="I80" s="15">
        <f t="shared" si="18"/>
        <v>4.865179170915895E-3</v>
      </c>
      <c r="J80" s="15">
        <f t="shared" si="18"/>
        <v>7.6675203699655909E-3</v>
      </c>
      <c r="K80" s="15">
        <f t="shared" si="18"/>
        <v>6.5337913274265535E-3</v>
      </c>
      <c r="L80" s="15">
        <f t="shared" si="18"/>
        <v>6.0240801060778577E-3</v>
      </c>
      <c r="M80" s="15">
        <f t="shared" si="18"/>
        <v>5.9923469607458778E-3</v>
      </c>
      <c r="N80" s="15">
        <f t="shared" si="18"/>
        <v>4.6039188996994792E-3</v>
      </c>
      <c r="O80" s="15">
        <f t="shared" si="18"/>
        <v>3.973888641416309E-3</v>
      </c>
      <c r="P80" s="15">
        <f t="shared" si="18"/>
        <v>3.9837379450215326E-3</v>
      </c>
      <c r="Q80" s="15">
        <f t="shared" si="18"/>
        <v>4.1463123667475231E-3</v>
      </c>
      <c r="R80" s="15">
        <f t="shared" si="18"/>
        <v>3.9656880735310868E-3</v>
      </c>
      <c r="S80" s="15">
        <f t="shared" si="18"/>
        <v>3.3853433085502863E-3</v>
      </c>
      <c r="T80" s="15">
        <f t="shared" si="18"/>
        <v>4.4836168286721302E-3</v>
      </c>
      <c r="U80" s="15">
        <f t="shared" si="18"/>
        <v>5.475565726775075E-3</v>
      </c>
      <c r="V80" s="15">
        <f t="shared" ref="V80" si="19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73" t="s">
        <v>124</v>
      </c>
      <c r="AD83" s="74"/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75" t="s">
        <v>125</v>
      </c>
      <c r="AD84" s="76"/>
    </row>
    <row r="85" spans="1:38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47" t="s">
        <v>126</v>
      </c>
      <c r="AD85" s="48">
        <f>V17</f>
        <v>4943000</v>
      </c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47" t="s">
        <v>127</v>
      </c>
      <c r="AD86" s="48">
        <f>V56</f>
        <v>283293000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47" t="s">
        <v>128</v>
      </c>
      <c r="AD87" s="48">
        <f>V61</f>
        <v>1619883000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49" t="s">
        <v>129</v>
      </c>
      <c r="AD88" s="50">
        <f>AD85/(AD86+AD87)</f>
        <v>2.5972374599091204E-3</v>
      </c>
    </row>
    <row r="89" spans="1:38" ht="20" customHeight="1" x14ac:dyDescent="0.25">
      <c r="A89" s="14" t="s">
        <v>104</v>
      </c>
      <c r="B89" s="15" t="e">
        <f t="shared" ref="B89:U89" si="20">(-1*B88)/B3</f>
        <v>#VALUE!</v>
      </c>
      <c r="C89" s="15" t="e">
        <f t="shared" si="20"/>
        <v>#VALUE!</v>
      </c>
      <c r="D89" s="15" t="e">
        <f t="shared" si="20"/>
        <v>#VALUE!</v>
      </c>
      <c r="E89" s="15">
        <f t="shared" si="20"/>
        <v>7.1850796528947034E-2</v>
      </c>
      <c r="F89" s="15">
        <f t="shared" si="20"/>
        <v>8.2545261437692113E-2</v>
      </c>
      <c r="G89" s="15">
        <f t="shared" si="20"/>
        <v>0.11167790944601767</v>
      </c>
      <c r="H89" s="15">
        <f t="shared" si="20"/>
        <v>0.1022112283639086</v>
      </c>
      <c r="I89" s="15">
        <f t="shared" si="20"/>
        <v>5.5697264655442433E-2</v>
      </c>
      <c r="J89" s="15">
        <f t="shared" si="20"/>
        <v>6.6753136775366054E-2</v>
      </c>
      <c r="K89" s="15">
        <f t="shared" si="20"/>
        <v>7.2424022507095398E-2</v>
      </c>
      <c r="L89" s="15">
        <f t="shared" si="20"/>
        <v>8.4935250709828061E-2</v>
      </c>
      <c r="M89" s="15">
        <f t="shared" si="20"/>
        <v>8.4635020274675135E-2</v>
      </c>
      <c r="N89" s="15">
        <f t="shared" si="20"/>
        <v>7.6840063565734112E-2</v>
      </c>
      <c r="O89" s="15">
        <f t="shared" si="20"/>
        <v>7.6238062279504484E-2</v>
      </c>
      <c r="P89" s="15">
        <f t="shared" si="20"/>
        <v>7.6986044764113901E-2</v>
      </c>
      <c r="Q89" s="15">
        <f t="shared" si="20"/>
        <v>7.4893967310085158E-2</v>
      </c>
      <c r="R89" s="15">
        <f t="shared" si="20"/>
        <v>4.7553715673743398E-2</v>
      </c>
      <c r="S89" s="15">
        <f t="shared" si="20"/>
        <v>0</v>
      </c>
      <c r="T89" s="15">
        <f t="shared" si="20"/>
        <v>0</v>
      </c>
      <c r="U89" s="15">
        <f t="shared" si="20"/>
        <v>1.9950088571409039E-2</v>
      </c>
      <c r="V89" s="15">
        <f t="shared" ref="V89" si="21">(-1*V88)/V3</f>
        <v>3.05766065830721E-2</v>
      </c>
      <c r="AC89" s="47" t="s">
        <v>105</v>
      </c>
      <c r="AD89" s="48">
        <f>V27</f>
        <v>401163000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AC90" s="47" t="s">
        <v>19</v>
      </c>
      <c r="AD90" s="48">
        <f>V25</f>
        <v>1640273000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AC91" s="49" t="s">
        <v>130</v>
      </c>
      <c r="AD91" s="50">
        <f>AD89/AD90</f>
        <v>0.24457087326317023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AC92" s="51" t="s">
        <v>131</v>
      </c>
      <c r="AD92" s="52">
        <f>AD88*(1-AD91)</f>
        <v>1.9620288262673291E-3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77" t="s">
        <v>132</v>
      </c>
      <c r="AD93" s="78"/>
    </row>
    <row r="94" spans="1:38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47" t="s">
        <v>133</v>
      </c>
      <c r="AD94" s="53">
        <f>[1]Treasuries!$C$8</f>
        <v>3.7280000000000001E-2</v>
      </c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AC95" s="47" t="s">
        <v>134</v>
      </c>
      <c r="AD95" s="54" cm="1">
        <f t="array" ref="AD95">_FV(A1,"Beta")</f>
        <v>1.3318000000000001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AC96" s="47" t="s">
        <v>135</v>
      </c>
      <c r="AD96" s="53">
        <v>8.4000000000000005E-2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51" t="s">
        <v>136</v>
      </c>
      <c r="AD97" s="52">
        <f>(AD94)+((AD95)*(AD96-AD94))</f>
        <v>9.9501696000000014E-2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AC98" s="77" t="s">
        <v>137</v>
      </c>
      <c r="AD98" s="78"/>
    </row>
    <row r="99" spans="1:39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47" t="s">
        <v>138</v>
      </c>
      <c r="AD99" s="48">
        <f>AD86+AD87</f>
        <v>1903176000</v>
      </c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49" t="s">
        <v>139</v>
      </c>
      <c r="AD100" s="50">
        <f>AD99/AD103</f>
        <v>7.8611781778190476E-2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AC101" s="47" t="s">
        <v>140</v>
      </c>
      <c r="AD101" s="39" cm="1">
        <f t="array" ref="AD101">_FV(A1,"Market cap",TRUE)</f>
        <v>22306630176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49" t="s">
        <v>141</v>
      </c>
      <c r="AD102" s="50">
        <f>AD101/AD103</f>
        <v>0.9213882182218095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51" t="s">
        <v>142</v>
      </c>
      <c r="AD103" s="55">
        <f>AD99+AD101</f>
        <v>24209806176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75" t="s">
        <v>143</v>
      </c>
      <c r="AD104" s="76"/>
    </row>
    <row r="105" spans="1:39" ht="21" thickTop="1" x14ac:dyDescent="0.25">
      <c r="A105" s="14" t="s">
        <v>161</v>
      </c>
      <c r="C105" s="1" t="e">
        <f t="shared" ref="C105:U105" si="22">(C22*(1-$AD$91))+C77+C88+C81</f>
        <v>#VALUE!</v>
      </c>
      <c r="D105" s="1" t="e">
        <f t="shared" si="22"/>
        <v>#VALUE!</v>
      </c>
      <c r="E105" s="1">
        <f t="shared" si="22"/>
        <v>3804746.6251044795</v>
      </c>
      <c r="F105" s="1">
        <f t="shared" si="22"/>
        <v>4978642.8326260298</v>
      </c>
      <c r="G105" s="1">
        <f t="shared" si="22"/>
        <v>-42619595.769728571</v>
      </c>
      <c r="H105" s="1">
        <f t="shared" si="22"/>
        <v>-50903876.002958044</v>
      </c>
      <c r="I105" s="1">
        <f t="shared" si="22"/>
        <v>108285761.27449515</v>
      </c>
      <c r="J105" s="1">
        <f t="shared" si="22"/>
        <v>90469436.302981257</v>
      </c>
      <c r="K105" s="1">
        <f t="shared" si="22"/>
        <v>122341417.52013233</v>
      </c>
      <c r="L105" s="1">
        <f t="shared" si="22"/>
        <v>113600536.04552412</v>
      </c>
      <c r="M105" s="1">
        <f t="shared" si="22"/>
        <v>135926516.76946461</v>
      </c>
      <c r="N105" s="1">
        <f t="shared" si="22"/>
        <v>175021445.04969603</v>
      </c>
      <c r="O105" s="1">
        <f t="shared" si="22"/>
        <v>123574500.57947671</v>
      </c>
      <c r="P105" s="1">
        <f t="shared" si="22"/>
        <v>299453122.48631787</v>
      </c>
      <c r="Q105" s="1">
        <f t="shared" si="22"/>
        <v>371827694.36429179</v>
      </c>
      <c r="R105" s="1">
        <f t="shared" si="22"/>
        <v>559763908.56339157</v>
      </c>
      <c r="S105" s="1">
        <f t="shared" si="22"/>
        <v>760842653.52779698</v>
      </c>
      <c r="T105" s="1">
        <f t="shared" si="22"/>
        <v>462414725.79381603</v>
      </c>
      <c r="U105" s="1">
        <f t="shared" si="22"/>
        <v>578224248.50802279</v>
      </c>
      <c r="V105" s="1">
        <f>(V22*(1-$AD$91))+V77+V88+V81</f>
        <v>1167099721.3622367</v>
      </c>
      <c r="W105" s="28">
        <f>V105*(1+$AD$106)</f>
        <v>1236383175.0954633</v>
      </c>
      <c r="X105" s="28">
        <f t="shared" ref="X105:AA105" si="23">W105*(1+$AD$106)</f>
        <v>1309779556.6902452</v>
      </c>
      <c r="Y105" s="28">
        <f t="shared" si="23"/>
        <v>1387533025.1006017</v>
      </c>
      <c r="Z105" s="28">
        <f t="shared" si="23"/>
        <v>1469902233.4795353</v>
      </c>
      <c r="AA105" s="28">
        <f t="shared" si="23"/>
        <v>1557161189.6095037</v>
      </c>
      <c r="AB105" s="29" t="s">
        <v>163</v>
      </c>
      <c r="AC105" s="23" t="s">
        <v>107</v>
      </c>
      <c r="AD105" s="24">
        <f>(AD100*AD92)+(AD102*AD97)</f>
        <v>9.1833928969421205E-2</v>
      </c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19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67">
        <v>981700000</v>
      </c>
      <c r="X106" s="67">
        <v>1053000000</v>
      </c>
      <c r="Y106" s="67">
        <v>1138000000</v>
      </c>
      <c r="Z106" s="67">
        <v>1324000000</v>
      </c>
      <c r="AA106" s="67">
        <v>1403000000</v>
      </c>
      <c r="AB106" s="29" t="s">
        <v>164</v>
      </c>
      <c r="AC106" s="30" t="s">
        <v>144</v>
      </c>
      <c r="AD106" s="31">
        <f>(SUM(W4:AA4)/5)</f>
        <v>5.9363782258776567E-2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29"/>
      <c r="X107" s="29"/>
      <c r="Y107" s="29"/>
      <c r="Z107" s="29"/>
      <c r="AA107" s="32">
        <f>AA105*(1+AD107)/(AD108-AD107)</f>
        <v>23881436329.742142</v>
      </c>
      <c r="AB107" s="33" t="s">
        <v>145</v>
      </c>
      <c r="AC107" s="34" t="s">
        <v>146</v>
      </c>
      <c r="AD107" s="35">
        <v>2.5000000000000001E-2</v>
      </c>
    </row>
    <row r="108" spans="1:39" ht="19" x14ac:dyDescent="0.25">
      <c r="W108" s="32">
        <f t="shared" ref="W108:Z108" si="25">W107+W105</f>
        <v>1236383175.0954633</v>
      </c>
      <c r="X108" s="32">
        <f t="shared" si="25"/>
        <v>1309779556.6902452</v>
      </c>
      <c r="Y108" s="32">
        <f t="shared" si="25"/>
        <v>1387533025.1006017</v>
      </c>
      <c r="Z108" s="32">
        <f t="shared" si="25"/>
        <v>1469902233.4795353</v>
      </c>
      <c r="AA108" s="32">
        <f>AA107+AA105</f>
        <v>25438597519.351646</v>
      </c>
      <c r="AB108" s="33" t="s">
        <v>142</v>
      </c>
      <c r="AC108" s="36" t="s">
        <v>147</v>
      </c>
      <c r="AD108" s="37">
        <f>AD105</f>
        <v>9.1833928969421205E-2</v>
      </c>
    </row>
    <row r="109" spans="1:39" ht="19" x14ac:dyDescent="0.25">
      <c r="W109" s="71" t="s">
        <v>148</v>
      </c>
      <c r="X109" s="72"/>
    </row>
    <row r="110" spans="1:39" ht="20" x14ac:dyDescent="0.25">
      <c r="W110" s="38" t="s">
        <v>149</v>
      </c>
      <c r="X110" s="39">
        <f>NPV(AD108,W108,X108,Y108,Z108,AA108)</f>
        <v>20726438672.632092</v>
      </c>
    </row>
    <row r="111" spans="1:39" ht="20" x14ac:dyDescent="0.25">
      <c r="W111" s="38" t="s">
        <v>150</v>
      </c>
      <c r="X111" s="39">
        <f>V40</f>
        <v>737877000</v>
      </c>
    </row>
    <row r="112" spans="1:39" ht="20" x14ac:dyDescent="0.25">
      <c r="W112" s="38" t="s">
        <v>138</v>
      </c>
      <c r="X112" s="39">
        <f>AD99</f>
        <v>1903176000</v>
      </c>
    </row>
    <row r="113" spans="23:24" ht="20" x14ac:dyDescent="0.25">
      <c r="W113" s="38" t="s">
        <v>151</v>
      </c>
      <c r="X113" s="39">
        <f>X110+X111-X112</f>
        <v>19561139672.632092</v>
      </c>
    </row>
    <row r="114" spans="23:24" ht="20" x14ac:dyDescent="0.25">
      <c r="W114" s="38" t="s">
        <v>152</v>
      </c>
      <c r="X114" s="45">
        <f>V34*(1+(5*AB16))</f>
        <v>43003211.19368273</v>
      </c>
    </row>
    <row r="115" spans="23:24" ht="20" x14ac:dyDescent="0.25">
      <c r="W115" s="40" t="s">
        <v>153</v>
      </c>
      <c r="X115" s="41">
        <f>X113/X114</f>
        <v>454.87625527615637</v>
      </c>
    </row>
    <row r="116" spans="23:24" ht="20" x14ac:dyDescent="0.25">
      <c r="W116" s="38" t="s">
        <v>154</v>
      </c>
      <c r="X116" s="56" cm="1">
        <f t="array" ref="X116">_FV(A1,"Price")</f>
        <v>447.91</v>
      </c>
    </row>
    <row r="117" spans="23:24" ht="20" x14ac:dyDescent="0.25">
      <c r="W117" s="42" t="s">
        <v>155</v>
      </c>
      <c r="X117" s="43">
        <f>X115/X116-1</f>
        <v>1.5552801402416438E-2</v>
      </c>
    </row>
    <row r="118" spans="23:24" ht="20" x14ac:dyDescent="0.25">
      <c r="W118" s="42" t="s">
        <v>156</v>
      </c>
      <c r="X118" s="44" t="str">
        <f>IF(X115&gt;X116,"BUY","SELL")</f>
        <v>BUY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6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73" t="s">
        <v>124</v>
      </c>
      <c r="J83" s="74"/>
    </row>
    <row r="84" spans="1:11" ht="19" x14ac:dyDescent="0.25">
      <c r="A84" s="5" t="s">
        <v>47</v>
      </c>
      <c r="B84" s="1"/>
      <c r="I84" s="75" t="s">
        <v>125</v>
      </c>
      <c r="J84" s="76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77" t="s">
        <v>132</v>
      </c>
      <c r="J93" s="78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>
        <f>[1]Treasuries!$C$8</f>
        <v>3.7280000000000001E-2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 vm="2">
        <f>(J94)+((J95)*(J96-J94))</f>
        <v>#VALUE!</v>
      </c>
    </row>
    <row r="98" spans="1:11" ht="19" x14ac:dyDescent="0.25">
      <c r="A98" s="5" t="s">
        <v>83</v>
      </c>
      <c r="B98" s="1">
        <v>0</v>
      </c>
      <c r="I98" s="77" t="s">
        <v>137</v>
      </c>
      <c r="J98" s="78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75" t="s">
        <v>143</v>
      </c>
      <c r="J104" s="76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71" t="s">
        <v>148</v>
      </c>
      <c r="D109" s="72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2023-01-12T11:00:38Z</dcterms:created>
  <dcterms:modified xsi:type="dcterms:W3CDTF">2023-06-17T07:59:11Z</dcterms:modified>
</cp:coreProperties>
</file>