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F1D8715-C5C4-FF41-A955-77683B196C5C}" xr6:coauthVersionLast="47" xr6:coauthVersionMax="47" xr10:uidLastSave="{00000000-0000-0000-0000-000000000000}"/>
  <bookViews>
    <workbookView xWindow="43040" yWindow="5540" windowWidth="263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G116" i="1" a="1"/>
  <c r="G116" i="1" s="1"/>
  <c r="M101" i="1" a="1"/>
  <c r="M101" i="1" s="1"/>
  <c r="M95" i="1" a="1"/>
  <c r="M95" i="1" s="1"/>
  <c r="K16" i="1"/>
  <c r="C105" i="1"/>
  <c r="D105" i="1"/>
  <c r="E105" i="1"/>
  <c r="G111" i="1"/>
  <c r="I108" i="1"/>
  <c r="H108" i="1"/>
  <c r="G108" i="1"/>
  <c r="F108" i="1"/>
  <c r="M91" i="1"/>
  <c r="M90" i="1"/>
  <c r="M89" i="1"/>
  <c r="M87" i="1"/>
  <c r="M86" i="1"/>
  <c r="M99" i="1" s="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M106" i="1" s="1"/>
  <c r="E106" i="1"/>
  <c r="D106" i="1"/>
  <c r="C106" i="1"/>
  <c r="B106" i="1"/>
  <c r="F105" i="1"/>
  <c r="G105" i="1" s="1"/>
  <c r="H105" i="1" s="1"/>
  <c r="I105" i="1" s="1"/>
  <c r="J105" i="1" s="1"/>
  <c r="B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C30" i="1"/>
  <c r="C26" i="1"/>
  <c r="C23" i="1"/>
  <c r="C21" i="1"/>
  <c r="C7" i="1"/>
  <c r="M103" i="1" l="1"/>
  <c r="M100" i="1" s="1"/>
  <c r="G112" i="1"/>
  <c r="M16" i="1"/>
  <c r="N16" i="1"/>
  <c r="L16" i="1"/>
  <c r="N19" i="1"/>
  <c r="M19" i="1"/>
  <c r="L19" i="1"/>
  <c r="M88" i="1"/>
  <c r="M92" i="1" s="1"/>
  <c r="M102" i="1" l="1"/>
  <c r="M94" i="1" l="1"/>
  <c r="M97" i="1" s="1"/>
  <c r="M105" i="1" s="1"/>
  <c r="M108" i="1" s="1"/>
  <c r="J107" i="1" s="1"/>
  <c r="J108" i="1" s="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<sst xmlns="http://schemas.openxmlformats.org/spreadsheetml/2006/main" count="282" uniqueCount="165">
  <si>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</si>
  <si>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</si>
  <si>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</si>
  <si>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</si>
  <si>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</si>
  <si>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</si>
  <si>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</si>
  <si>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</si>
  <si>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</si>
  <si>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</si>
  <si>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</si>
  <si>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</si>
  <si>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</si>
  <si>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</si>
  <si>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</si>
  <si>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</si>
  <si>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</si>
  <si>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</si>
  <si>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</si>
  <si>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</si>
  <si>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</si>
  <si>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</si>
  <si>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</si>
  <si>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</si>
  <si>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</si>
  <si>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</si>
  <si>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</si>
  <si>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</si>
  <si>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</si>
  <si>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</si>
  <si>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</si>
  <si>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</si>
  <si>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</si>
  <si>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</si>
  <si>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</si>
  <si>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</si>
  <si>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</si>
  <si>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</si>
  <si>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</si>
  <si>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</si>
  <si>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</si>
  <si>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</si>
  <si>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</si>
  <si>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</si>
  <si>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</si>
  <si>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</si>
  <si>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</si>
  <si>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</si>
  <si>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</si>
  <si>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</si>
  <si>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</si>
  <si>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</si>
  <si>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</si>
  <si>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</si>
  <si>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</si>
  <si>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</si>
  <si>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</si>
  <si>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</si>
  <si>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</si>
  <si>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</si>
  <si>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</si>
  <si>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</si>
  <si>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</si>
  <si>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</si>
  <si>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</si>
  <si>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</si>
  <si>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</si>
  <si>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</si>
  <si>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</si>
  <si>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</si>
  <si>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</si>
  <si>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</si>
  <si>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</si>
  <si>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</si>
  <si>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</si>
  <si>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</si>
  <si>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</si>
  <si>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</si>
  <si>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</si>
  <si>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</si>
  <si>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</si>
  <si>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</si>
  <si>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</si>
  <si>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</si>
  <si>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</si>
  <si>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</si>
  <si>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</si>
  <si>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</si>
  <si>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</si>
  <si>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</si>
  <si>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</si>
  <si>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</si>
  <si>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</si>
  <si>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</si>
  <si>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</si>
  <si>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</si>
  <si>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</si>
  <si>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</si>
  <si>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</si>
  <si>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</si>
  <si>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</si>
  <si>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</si>
  <si>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</si>
  <si>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</si>
  <si>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</si>
  <si>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</si>
  <si>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</si>
  <si>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</si>
  <si>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</si>
  <si>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</si>
  <si>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</si>
  <si>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</si>
  <si>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</si>
  <si>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</si>
  <si>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</si>
  <si>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</si>
  <si>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</si>
  <si>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</si>
  <si>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</si>
  <si>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</si>
  <si>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</si>
  <si>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</si>
  <si>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</si>
  <si>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</si>
  <si>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</si>
  <si>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</si>
  <si>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</si>
  <si>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</si>
  <si>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</si>
  <si>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</si>
  <si>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</si>
  <si>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</si>
  <si>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</si>
  <si>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</si>
  <si>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</si>
  <si>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</si>
  <si>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</si>
  <si>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</si>
  <si>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</si>
  <si>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</si>
  <si>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</si>
  <si>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</si>
  <si>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</si>
  <si>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</si>
  <si>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</si>
  <si>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</si>
  <si>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</si>
  <si>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</si>
  <si>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</si>
  <si>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</si>
  <si>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</si>
  <si>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</si>
  <si>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</si>
  <si>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</si>
  <si>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</si>
  <si>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</si>
  <si>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</si>
  <si>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</si>
  <si>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</si>
  <si>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</si>
  <si>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</si>
  <si>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</si>
  <si>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Levered FCF</t>
  </si>
  <si>
    <t>Share Dilution (3yr)</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</si>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</sst>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5" borderId="0" xfId="0" applyFill="1"/>
    <xf numFmtId="0" fontId="12" fillId="6" borderId="11" xfId="0" applyFont="1" applyFill="1" applyBorder="1" applyAlignment="1">
      <alignment horizontal="left" vertical="center" wrapText="1"/>
    </xf>
    <xf numFmtId="10" fontId="12" fillId="6" borderId="8" xfId="0" applyNumberFormat="1" applyFont="1" applyFill="1" applyBorder="1"/>
    <xf numFmtId="164" fontId="10" fillId="7" borderId="0" xfId="0" applyNumberFormat="1" applyFont="1" applyFill="1"/>
    <xf numFmtId="9" fontId="13"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 fillId="0" borderId="6" xfId="0" applyNumberFormat="1" applyFont="1" applyBorder="1" applyAlignment="1">
      <alignment horizontal="center"/>
    </xf>
    <xf numFmtId="165" fontId="10" fillId="0" borderId="12" xfId="0" applyNumberFormat="1" applyFont="1" applyBorder="1"/>
    <xf numFmtId="165"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5" borderId="9" xfId="0" applyFont="1" applyFill="1" applyBorder="1" applyAlignment="1">
      <alignment horizontal="left" vertical="center" wrapText="1"/>
    </xf>
    <xf numFmtId="39" fontId="11" fillId="5" borderId="10" xfId="0" applyNumberFormat="1" applyFont="1" applyFill="1" applyBorder="1"/>
    <xf numFmtId="164" fontId="1" fillId="5" borderId="10" xfId="0" applyNumberFormat="1" applyFont="1" applyFill="1" applyBorder="1"/>
    <xf numFmtId="164" fontId="12" fillId="4" borderId="8" xfId="0" applyNumberFormat="1" applyFont="1" applyFill="1" applyBorder="1"/>
    <xf numFmtId="164" fontId="1" fillId="7" borderId="0" xfId="0" applyNumberFormat="1" applyFont="1" applyFill="1"/>
    <xf numFmtId="0" fontId="0" fillId="5" borderId="0" xfId="0" applyFill="1" applyAlignment="1">
      <alignment horizontal="left"/>
    </xf>
    <xf numFmtId="0" fontId="13"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3" fillId="5" borderId="11"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8" fontId="1" fillId="5"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MP</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18510646870196E-2"/>
          <c:y val="0.11619335349674906"/>
          <c:w val="0.85022705348600625"/>
          <c:h val="0.730900991392686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73411000</c:v>
                </c:pt>
                <c:pt idx="1">
                  <c:v>134300000</c:v>
                </c:pt>
                <c:pt idx="2">
                  <c:v>331952000</c:v>
                </c:pt>
                <c:pt idx="3">
                  <c:v>527510000</c:v>
                </c:pt>
              </c:numCache>
            </c:numRef>
          </c:val>
          <c:extLst>
            <c:ext xmlns:c16="http://schemas.microsoft.com/office/drawing/2014/chart" uri="{C3380CC4-5D6E-409C-BE32-E72D297353CC}">
              <c16:uniqueId val="{00000000-3538-C94D-BC43-93977400D75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-6755000</c:v>
                </c:pt>
                <c:pt idx="1">
                  <c:v>-21825000</c:v>
                </c:pt>
                <c:pt idx="2">
                  <c:v>135037000</c:v>
                </c:pt>
                <c:pt idx="3">
                  <c:v>289004000</c:v>
                </c:pt>
              </c:numCache>
            </c:numRef>
          </c:val>
          <c:extLst>
            <c:ext xmlns:c16="http://schemas.microsoft.com/office/drawing/2014/chart" uri="{C3380CC4-5D6E-409C-BE32-E72D297353CC}">
              <c16:uniqueId val="{00000001-3538-C94D-BC43-93977400D75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-2711000</c:v>
                </c:pt>
                <c:pt idx="1">
                  <c:v>-19093000</c:v>
                </c:pt>
                <c:pt idx="2">
                  <c:v>-21899000</c:v>
                </c:pt>
                <c:pt idx="3">
                  <c:v>16919000</c:v>
                </c:pt>
              </c:numCache>
            </c:numRef>
          </c:val>
          <c:extLst>
            <c:ext xmlns:c16="http://schemas.microsoft.com/office/drawing/2014/chart" uri="{C3380CC4-5D6E-409C-BE32-E72D297353CC}">
              <c16:uniqueId val="{00000002-3538-C94D-BC43-93977400D751}"/>
            </c:ext>
          </c:extLst>
        </c:ser>
        <c:dLbls>
          <c:showLegendKey val="0"/>
          <c:showVal val="0"/>
          <c:showCatName val="0"/>
          <c:showSerName val="0"/>
          <c:showPercent val="0"/>
          <c:showBubbleSize val="0"/>
        </c:dLbls>
        <c:gapWidth val="100"/>
        <c:overlap val="-24"/>
        <c:axId val="158762111"/>
        <c:axId val="158763839"/>
      </c:barChart>
      <c:catAx>
        <c:axId val="1587621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763839"/>
        <c:crosses val="autoZero"/>
        <c:auto val="1"/>
        <c:lblAlgn val="ctr"/>
        <c:lblOffset val="100"/>
        <c:noMultiLvlLbl val="0"/>
      </c:catAx>
      <c:valAx>
        <c:axId val="15876383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762111"/>
        <c:crosses val="autoZero"/>
        <c:crossBetween val="between"/>
      </c:valAx>
      <c:spPr>
        <a:noFill/>
        <a:ln>
          <a:noFill/>
        </a:ln>
        <a:effectLst/>
      </c:spPr>
    </c:plotArea>
    <c:legend>
      <c:legendPos val="b"/>
      <c:layout>
        <c:manualLayout>
          <c:xMode val="edge"/>
          <c:yMode val="edge"/>
          <c:x val="0.34934787750447205"/>
          <c:y val="0.92104066536302309"/>
          <c:w val="0.31456025231087698"/>
          <c:h val="4.83170303653913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41274</xdr:rowOff>
    </xdr:from>
    <xdr:to>
      <xdr:col>12</xdr:col>
      <xdr:colOff>1587500</xdr:colOff>
      <xdr:row>132</xdr:row>
      <xdr:rowOff>15875</xdr:rowOff>
    </xdr:to>
    <xdr:graphicFrame macro="">
      <xdr:nvGraphicFramePr>
        <xdr:cNvPr id="2" name="Chart 1">
          <a:extLst>
            <a:ext uri="{FF2B5EF4-FFF2-40B4-BE49-F238E27FC236}">
              <a16:creationId xmlns:a16="http://schemas.microsoft.com/office/drawing/2014/main" id="{4E10EB76-FA57-B648-87C6-12B2B07FD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https://www.bing.com/financeapi/forcetrigger?t=buxfa2&amp;q=XNYS%3aMP&amp;form=skydnc</v>
    <v>Learn more on Bing</v>
  </rv>
  <rv s="1">
    <v>0</v>
    <v>MP MATERIALS CORP (XNYS:MP)</v>
    <v>2</v>
    <v>3</v>
    <v>Finance</v>
    <v>4</v>
    <v>en-US</v>
    <v>buxfa2</v>
    <v>268435456</v>
    <v>1</v>
    <v>Powered by Refinitiv</v>
    <v>40.119999999999997</v>
    <v>20.21</v>
    <v>1.6479999999999999</v>
    <v>-0.56999999999999995</v>
    <v>-2.4422000000000003E-2</v>
    <v>0.18</v>
    <v>7.9050000000000006E-3</v>
    <v>USD</v>
    <v>MP Materials Corp. is a producer of rare earth materials in the western hemisphere. The Company owns and operates the mountain pass rare earth mine and processing facility in California in North America's rare earth production site. Processing Facility (Mountain Pass), which is a rare earth mining and processing site of scale in the western hemisphere. The Company is focused on producing neodymium-praseodymium (NdPr), lanthanum, and cerium oxides and carbonates. The Company's NdPr magnets are used in many technologies, including electric vehicles, drones, defense systems, wind turbines, medical equipment, wind turbines, robotics, and various advanced technologies. The Company is developing, manufacturing, and building various components such as metal, alloy and magnet in United States.</v>
    <v>486</v>
    <v>New York Stock Exchange</v>
    <v>XNYS</v>
    <v>XNYS</v>
    <v>1700 S. Pavilion Center Dr., Suite 800, LAS VEGAS, NV, 89135 US</v>
    <v>23.32</v>
    <v>Metals &amp; Mining</v>
    <v>Stock</v>
    <v>45093.999611793748</v>
    <v>0</v>
    <v>22.655000000000001</v>
    <v>4044425616</v>
    <v>MP MATERIALS CORP</v>
    <v>MP MATERIALS CORP</v>
    <v>23.32</v>
    <v>18.3978</v>
    <v>23.34</v>
    <v>22.77</v>
    <v>22.95</v>
    <v>177620800</v>
    <v>MP</v>
    <v>MP MATERIALS CORP (XNYS:MP)</v>
    <v>3892854</v>
    <v>2884418</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801368/000180136823000009/0001801368-23-00000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01368/000180136822000010/0001801368-22-00001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P" TargetMode="External"/><Relationship Id="rId6" Type="http://schemas.openxmlformats.org/officeDocument/2006/relationships/hyperlink" Target="https://www.sec.gov/Archives/edgar/data/1801368/000180136822000010/0001801368-22-000010-index.htm" TargetMode="External"/><Relationship Id="rId11" Type="http://schemas.openxmlformats.org/officeDocument/2006/relationships/hyperlink" Target="https://finbox.com/NYSE:MP/explorer/fcf_unlev_proj" TargetMode="External"/><Relationship Id="rId5" Type="http://schemas.openxmlformats.org/officeDocument/2006/relationships/hyperlink" Target="https://www.sec.gov/Archives/edgar/data/1801368/000180136821000011/0001801368-21-000011-index.htm" TargetMode="External"/><Relationship Id="rId10" Type="http://schemas.openxmlformats.org/officeDocument/2006/relationships/hyperlink" Target="https://finbox.com/NASDAQGS:JAMF/explorer/revenue_proj" TargetMode="External"/><Relationship Id="rId4" Type="http://schemas.openxmlformats.org/officeDocument/2006/relationships/hyperlink" Target="https://www.sec.gov/Archives/edgar/data/1801368/000180136821000011/0001801368-21-000011-index.htm" TargetMode="External"/><Relationship Id="rId9" Type="http://schemas.openxmlformats.org/officeDocument/2006/relationships/hyperlink" Target="https://www.sec.gov/Archives/edgar/data/1801368/000180136823000009/0001801368-23-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zoomScale="80" zoomScaleNormal="80" workbookViewId="0">
      <pane xSplit="1" ySplit="1" topLeftCell="C94" activePane="bottomRight" state="frozen"/>
      <selection pane="topRight"/>
      <selection pane="bottomLeft"/>
      <selection pane="bottomRight" activeCell="F106" sqref="F105:K106"/>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33">
        <v>2023</v>
      </c>
      <c r="G1" s="33">
        <v>2024</v>
      </c>
      <c r="H1" s="33">
        <v>2025</v>
      </c>
      <c r="I1" s="33">
        <v>2026</v>
      </c>
      <c r="J1" s="33">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73411000</v>
      </c>
      <c r="C3" s="1">
        <v>134300000</v>
      </c>
      <c r="D3" s="1">
        <v>331952000</v>
      </c>
      <c r="E3" s="1">
        <v>527510000</v>
      </c>
      <c r="F3" s="34">
        <v>332000000</v>
      </c>
      <c r="G3" s="34">
        <v>603000000</v>
      </c>
      <c r="H3" s="34">
        <v>771400000</v>
      </c>
      <c r="I3" s="34">
        <v>891100000</v>
      </c>
      <c r="J3" s="34">
        <v>2193000000</v>
      </c>
      <c r="K3" s="19" t="s">
        <v>112</v>
      </c>
      <c r="L3" s="20" t="s">
        <v>113</v>
      </c>
      <c r="M3" s="20" t="s">
        <v>114</v>
      </c>
      <c r="N3" s="20" t="s">
        <v>115</v>
      </c>
    </row>
    <row r="4" spans="1:14" ht="19" x14ac:dyDescent="0.25">
      <c r="A4" s="15" t="s">
        <v>93</v>
      </c>
      <c r="B4" s="1"/>
      <c r="C4" s="16">
        <f>(C3/B3)-1</f>
        <v>0.8294261078040075</v>
      </c>
      <c r="D4" s="16">
        <f>(D3/C3)-1</f>
        <v>1.4717200297840654</v>
      </c>
      <c r="E4" s="16">
        <f>(E3/D3)-1</f>
        <v>0.58911529377741356</v>
      </c>
      <c r="F4" s="17">
        <f t="shared" ref="F4:J4" si="0">(F3/E3)-1</f>
        <v>-0.37062804496597224</v>
      </c>
      <c r="G4" s="17">
        <f t="shared" si="0"/>
        <v>0.81626506024096379</v>
      </c>
      <c r="H4" s="17">
        <f t="shared" si="0"/>
        <v>0.27927031509121059</v>
      </c>
      <c r="I4" s="17">
        <f t="shared" si="0"/>
        <v>0.15517241379310343</v>
      </c>
      <c r="J4" s="17">
        <f t="shared" si="0"/>
        <v>1.4610032544046683</v>
      </c>
      <c r="K4" s="18">
        <f>(E4+D4+C4)/3</f>
        <v>0.96342047712182877</v>
      </c>
      <c r="L4" s="18">
        <f>(E20+D20+C20)/3</f>
        <v>-5.8176304585015286</v>
      </c>
      <c r="M4" s="18">
        <f>(E29+D29+C29)/3</f>
        <v>-1.272046155990691</v>
      </c>
      <c r="N4" s="18">
        <f>(E106+D106+C106)/3</f>
        <v>1.4723870464311133</v>
      </c>
    </row>
    <row r="5" spans="1:14" ht="19" x14ac:dyDescent="0.25">
      <c r="A5" s="5" t="s">
        <v>2</v>
      </c>
      <c r="B5" s="1">
        <v>67833000</v>
      </c>
      <c r="C5" s="1">
        <v>63798000</v>
      </c>
      <c r="D5" s="1">
        <v>100635000</v>
      </c>
      <c r="E5" s="1">
        <v>92218000</v>
      </c>
    </row>
    <row r="6" spans="1:14" ht="20" x14ac:dyDescent="0.25">
      <c r="A6" s="6" t="s">
        <v>3</v>
      </c>
      <c r="B6" s="10">
        <v>5578000</v>
      </c>
      <c r="C6" s="10">
        <v>-63798000</v>
      </c>
      <c r="D6" s="10">
        <v>231317000</v>
      </c>
      <c r="E6" s="10">
        <v>435292000</v>
      </c>
      <c r="K6" s="19" t="s">
        <v>116</v>
      </c>
      <c r="L6" s="20" t="s">
        <v>117</v>
      </c>
      <c r="M6" s="20" t="s">
        <v>118</v>
      </c>
      <c r="N6" s="20" t="s">
        <v>119</v>
      </c>
    </row>
    <row r="7" spans="1:14" ht="19" x14ac:dyDescent="0.25">
      <c r="A7" s="5" t="s">
        <v>4</v>
      </c>
      <c r="B7" s="2">
        <v>7.5999999999999998E-2</v>
      </c>
      <c r="C7" s="2">
        <f>C6/C3</f>
        <v>-0.47504095309009681</v>
      </c>
      <c r="D7" s="2">
        <v>0.69679999999999997</v>
      </c>
      <c r="E7" s="2">
        <v>0.82520000000000004</v>
      </c>
      <c r="K7" s="18">
        <f>E7</f>
        <v>0.82520000000000004</v>
      </c>
      <c r="L7" s="21">
        <f>E21</f>
        <v>0.6925</v>
      </c>
      <c r="M7" s="21">
        <f>E30</f>
        <v>0.54790000000000005</v>
      </c>
      <c r="N7" s="21">
        <f>E107/E3</f>
        <v>3.2073325624158787E-2</v>
      </c>
    </row>
    <row r="8" spans="1:14" ht="19" x14ac:dyDescent="0.25">
      <c r="A8" s="5" t="s">
        <v>5</v>
      </c>
      <c r="B8" s="1" t="s">
        <v>91</v>
      </c>
      <c r="C8" s="1" t="s">
        <v>91</v>
      </c>
      <c r="D8" s="1">
        <v>4573000</v>
      </c>
      <c r="E8" s="1" t="s">
        <v>91</v>
      </c>
    </row>
    <row r="9" spans="1:14" ht="19" customHeight="1" x14ac:dyDescent="0.25">
      <c r="A9" s="15" t="s">
        <v>94</v>
      </c>
      <c r="B9" s="16" t="e">
        <f>B8/B3</f>
        <v>#VALUE!</v>
      </c>
      <c r="C9" s="16" t="e">
        <f t="shared" ref="C9:E9" si="1">C8/C3</f>
        <v>#VALUE!</v>
      </c>
      <c r="D9" s="16">
        <f t="shared" si="1"/>
        <v>1.377608810912421E-2</v>
      </c>
      <c r="E9" s="16" t="e">
        <f t="shared" si="1"/>
        <v>#VALUE!</v>
      </c>
      <c r="K9" s="19" t="s">
        <v>95</v>
      </c>
      <c r="L9" s="20" t="s">
        <v>96</v>
      </c>
      <c r="M9" s="20" t="s">
        <v>97</v>
      </c>
      <c r="N9" s="20" t="s">
        <v>98</v>
      </c>
    </row>
    <row r="10" spans="1:14" ht="19" x14ac:dyDescent="0.25">
      <c r="A10" s="5" t="s">
        <v>6</v>
      </c>
      <c r="B10" s="1">
        <v>11104000</v>
      </c>
      <c r="C10" s="1">
        <v>27008000</v>
      </c>
      <c r="D10" s="1">
        <v>57215000</v>
      </c>
      <c r="E10" s="1" t="s">
        <v>91</v>
      </c>
      <c r="K10" s="18" t="e">
        <f>E9</f>
        <v>#VALUE!</v>
      </c>
      <c r="L10" s="21">
        <f>E13</f>
        <v>0.14376978635476104</v>
      </c>
      <c r="M10" s="21">
        <f>E80</f>
        <v>6.0245303406570493E-2</v>
      </c>
      <c r="N10" s="21">
        <f>E89</f>
        <v>0.61912570377812748</v>
      </c>
    </row>
    <row r="11" spans="1:14" ht="19" x14ac:dyDescent="0.25">
      <c r="A11" s="5" t="s">
        <v>7</v>
      </c>
      <c r="B11" s="1" t="s">
        <v>91</v>
      </c>
      <c r="C11" s="1" t="s">
        <v>91</v>
      </c>
      <c r="D11" s="1" t="s">
        <v>91</v>
      </c>
      <c r="E11" s="1" t="s">
        <v>91</v>
      </c>
    </row>
    <row r="12" spans="1:14" ht="20" x14ac:dyDescent="0.25">
      <c r="A12" s="5" t="s">
        <v>8</v>
      </c>
      <c r="B12" s="1">
        <v>11104000</v>
      </c>
      <c r="C12" s="1">
        <v>27008000</v>
      </c>
      <c r="D12" s="1">
        <v>57215000</v>
      </c>
      <c r="E12" s="1">
        <v>75840000</v>
      </c>
      <c r="K12" s="19" t="s">
        <v>120</v>
      </c>
      <c r="L12" s="20" t="s">
        <v>121</v>
      </c>
      <c r="M12" s="20" t="s">
        <v>122</v>
      </c>
      <c r="N12" s="20" t="s">
        <v>123</v>
      </c>
    </row>
    <row r="13" spans="1:14" ht="19" x14ac:dyDescent="0.25">
      <c r="A13" s="15" t="s">
        <v>99</v>
      </c>
      <c r="B13" s="16">
        <f>B12/B3</f>
        <v>0.15125798586042963</v>
      </c>
      <c r="C13" s="16">
        <f t="shared" ref="C13:E13" si="2">C12/C3</f>
        <v>0.20110201042442294</v>
      </c>
      <c r="D13" s="16">
        <f t="shared" si="2"/>
        <v>0.17235925676001349</v>
      </c>
      <c r="E13" s="16">
        <f t="shared" si="2"/>
        <v>0.14376978635476104</v>
      </c>
      <c r="K13" s="18">
        <f>E28/E72</f>
        <v>0.22017104539422261</v>
      </c>
      <c r="L13" s="21">
        <f>E28/E54</f>
        <v>0.12914723340514536</v>
      </c>
      <c r="M13" s="21">
        <f>E22/(E72+E56+E61)</f>
        <v>0.16369911573448637</v>
      </c>
      <c r="N13" s="22">
        <f>E67/E72</f>
        <v>0.7048065188011281</v>
      </c>
    </row>
    <row r="14" spans="1:14" ht="19" x14ac:dyDescent="0.25">
      <c r="A14" s="5" t="s">
        <v>9</v>
      </c>
      <c r="B14" s="1">
        <v>2094000</v>
      </c>
      <c r="C14" s="1">
        <v>142005000</v>
      </c>
      <c r="D14" s="1">
        <v>2375000</v>
      </c>
      <c r="E14" s="1">
        <v>32041000</v>
      </c>
    </row>
    <row r="15" spans="1:14" ht="20" x14ac:dyDescent="0.25">
      <c r="A15" s="5" t="s">
        <v>10</v>
      </c>
      <c r="B15" s="1">
        <v>13198000</v>
      </c>
      <c r="C15" s="1">
        <v>169013000</v>
      </c>
      <c r="D15" s="1">
        <v>64163000</v>
      </c>
      <c r="E15" s="1">
        <v>107881000</v>
      </c>
      <c r="K15" s="19" t="s">
        <v>163</v>
      </c>
      <c r="L15" s="20" t="s">
        <v>124</v>
      </c>
      <c r="M15" s="20" t="s">
        <v>125</v>
      </c>
      <c r="N15" s="20" t="s">
        <v>126</v>
      </c>
    </row>
    <row r="16" spans="1:14" ht="19" x14ac:dyDescent="0.25">
      <c r="A16" s="5" t="s">
        <v>11</v>
      </c>
      <c r="B16" s="1">
        <v>81031000</v>
      </c>
      <c r="C16" s="1">
        <v>232811000</v>
      </c>
      <c r="D16" s="1">
        <v>164798000</v>
      </c>
      <c r="E16" s="1">
        <v>200099000</v>
      </c>
      <c r="K16" s="35">
        <f>(E35+D35+C35)/3</f>
        <v>0.51942954442220401</v>
      </c>
      <c r="L16" s="36">
        <f>M101/E3</f>
        <v>7.6670122196735608</v>
      </c>
      <c r="M16" s="36">
        <f>M101/E28</f>
        <v>13.994358610953482</v>
      </c>
      <c r="N16" s="37">
        <f>M101/E107</f>
        <v>239.046374844849</v>
      </c>
    </row>
    <row r="17" spans="1:14" ht="19" x14ac:dyDescent="0.25">
      <c r="A17" s="5" t="s">
        <v>12</v>
      </c>
      <c r="B17" s="1">
        <v>3412000</v>
      </c>
      <c r="C17" s="1">
        <v>5009000</v>
      </c>
      <c r="D17" s="1">
        <v>8904000</v>
      </c>
      <c r="E17" s="1">
        <v>5786000</v>
      </c>
    </row>
    <row r="18" spans="1:14" ht="20" x14ac:dyDescent="0.25">
      <c r="A18" s="5" t="s">
        <v>13</v>
      </c>
      <c r="B18" s="1" t="s">
        <v>91</v>
      </c>
      <c r="C18" s="1">
        <v>63798000</v>
      </c>
      <c r="D18" s="1">
        <v>24382000</v>
      </c>
      <c r="E18" s="1">
        <v>18356000</v>
      </c>
      <c r="K18" s="19" t="s">
        <v>127</v>
      </c>
      <c r="L18" s="20" t="s">
        <v>128</v>
      </c>
      <c r="M18" s="20" t="s">
        <v>129</v>
      </c>
      <c r="N18" s="20" t="s">
        <v>130</v>
      </c>
    </row>
    <row r="19" spans="1:14" ht="19" x14ac:dyDescent="0.25">
      <c r="A19" s="6" t="s">
        <v>14</v>
      </c>
      <c r="B19" s="10">
        <v>-3342000</v>
      </c>
      <c r="C19" s="10">
        <v>64618000</v>
      </c>
      <c r="D19" s="10">
        <v>193481000</v>
      </c>
      <c r="E19" s="10">
        <v>365294000</v>
      </c>
      <c r="F19" s="10">
        <v>172700000</v>
      </c>
      <c r="G19" s="10">
        <v>352700000</v>
      </c>
      <c r="H19" s="10">
        <v>494900000</v>
      </c>
      <c r="I19" s="10">
        <v>438900000</v>
      </c>
      <c r="J19" s="10">
        <v>723000000</v>
      </c>
      <c r="K19" s="38">
        <f>E40-E56-E61</f>
        <v>494901000</v>
      </c>
      <c r="L19" s="36">
        <f>M101/F3</f>
        <v>12.18200486746988</v>
      </c>
      <c r="M19" s="36">
        <f>M101/F28</f>
        <v>34.391374285714285</v>
      </c>
      <c r="N19" s="37">
        <f>M101/F105</f>
        <v>-91.315726014427753</v>
      </c>
    </row>
    <row r="20" spans="1:14" ht="19" customHeight="1" x14ac:dyDescent="0.25">
      <c r="A20" s="15" t="s">
        <v>100</v>
      </c>
      <c r="B20" s="1"/>
      <c r="C20" s="16">
        <f>(C19/B19)-1</f>
        <v>-20.335128665469778</v>
      </c>
      <c r="D20" s="16">
        <f>(D19/C19)-1</f>
        <v>1.9942276145965518</v>
      </c>
      <c r="E20" s="16">
        <f>(E19/D19)-1</f>
        <v>0.88800967536864084</v>
      </c>
      <c r="F20" s="17">
        <f t="shared" ref="F20:J20" si="3">(F19/E19)-1</f>
        <v>-0.52723012149118242</v>
      </c>
      <c r="G20" s="17">
        <f t="shared" si="3"/>
        <v>1.0422698320787491</v>
      </c>
      <c r="H20" s="17">
        <f t="shared" si="3"/>
        <v>0.40317550326056129</v>
      </c>
      <c r="I20" s="17">
        <f t="shared" si="3"/>
        <v>-0.11315417256011318</v>
      </c>
      <c r="J20" s="17">
        <f t="shared" si="3"/>
        <v>0.64730006835269993</v>
      </c>
    </row>
    <row r="21" spans="1:14" ht="19" x14ac:dyDescent="0.25">
      <c r="A21" s="5" t="s">
        <v>15</v>
      </c>
      <c r="B21" s="2">
        <v>-4.5499999999999999E-2</v>
      </c>
      <c r="C21" s="2">
        <f>C19/C3</f>
        <v>0.48114668652271037</v>
      </c>
      <c r="D21" s="2">
        <v>0.58289999999999997</v>
      </c>
      <c r="E21" s="2">
        <v>0.6925</v>
      </c>
      <c r="F21" s="39">
        <f>F19/F3</f>
        <v>0.52018072289156625</v>
      </c>
      <c r="G21" s="39">
        <f t="shared" ref="G21:J21" si="4">G19/G3</f>
        <v>0.58490878938640134</v>
      </c>
      <c r="H21" s="39">
        <f t="shared" si="4"/>
        <v>0.64156079854809434</v>
      </c>
      <c r="I21" s="39">
        <f t="shared" si="4"/>
        <v>0.4925373134328358</v>
      </c>
      <c r="J21" s="39">
        <f t="shared" si="4"/>
        <v>0.32968536251709984</v>
      </c>
    </row>
    <row r="22" spans="1:14" ht="19" x14ac:dyDescent="0.25">
      <c r="A22" s="6" t="s">
        <v>16</v>
      </c>
      <c r="B22" s="10">
        <v>-7620000</v>
      </c>
      <c r="C22" s="10">
        <v>-34703000</v>
      </c>
      <c r="D22" s="10">
        <v>165345000</v>
      </c>
      <c r="E22" s="10">
        <v>327411000</v>
      </c>
    </row>
    <row r="23" spans="1:14" ht="19" x14ac:dyDescent="0.25">
      <c r="A23" s="5" t="s">
        <v>17</v>
      </c>
      <c r="B23" s="2">
        <v>-0.1038</v>
      </c>
      <c r="C23" s="2">
        <f>C22/C3</f>
        <v>-0.25839910647803427</v>
      </c>
      <c r="D23" s="2">
        <v>0.49809999999999999</v>
      </c>
      <c r="E23" s="2">
        <v>0.62070000000000003</v>
      </c>
    </row>
    <row r="24" spans="1:14" ht="19" x14ac:dyDescent="0.25">
      <c r="A24" s="5" t="s">
        <v>18</v>
      </c>
      <c r="B24" s="1">
        <v>866000</v>
      </c>
      <c r="C24" s="1">
        <v>-4758000</v>
      </c>
      <c r="D24" s="1">
        <v>-5150000</v>
      </c>
      <c r="E24" s="1">
        <v>13741000</v>
      </c>
    </row>
    <row r="25" spans="1:14" ht="19" x14ac:dyDescent="0.25">
      <c r="A25" s="6" t="s">
        <v>19</v>
      </c>
      <c r="B25" s="10">
        <v>-6754000</v>
      </c>
      <c r="C25" s="10">
        <v>-39461000</v>
      </c>
      <c r="D25" s="10">
        <v>160195000</v>
      </c>
      <c r="E25" s="10">
        <v>341152000</v>
      </c>
    </row>
    <row r="26" spans="1:14" ht="19" x14ac:dyDescent="0.25">
      <c r="A26" s="5" t="s">
        <v>20</v>
      </c>
      <c r="B26" s="2">
        <v>-9.1999999999999998E-2</v>
      </c>
      <c r="C26" s="2">
        <f>C25/C3</f>
        <v>-0.29382725241995533</v>
      </c>
      <c r="D26" s="2">
        <v>0.48259999999999997</v>
      </c>
      <c r="E26" s="2">
        <v>0.64670000000000005</v>
      </c>
    </row>
    <row r="27" spans="1:14" ht="19" x14ac:dyDescent="0.25">
      <c r="A27" s="5" t="s">
        <v>21</v>
      </c>
      <c r="B27" s="1">
        <v>1000</v>
      </c>
      <c r="C27" s="1">
        <v>17636000</v>
      </c>
      <c r="D27" s="1">
        <v>25158000</v>
      </c>
      <c r="E27" s="1">
        <v>52148000</v>
      </c>
    </row>
    <row r="28" spans="1:14" ht="20" thickBot="1" x14ac:dyDescent="0.3">
      <c r="A28" s="7" t="s">
        <v>22</v>
      </c>
      <c r="B28" s="11">
        <v>-6755000</v>
      </c>
      <c r="C28" s="11">
        <v>-21825000</v>
      </c>
      <c r="D28" s="11">
        <v>135037000</v>
      </c>
      <c r="E28" s="11">
        <v>289004000</v>
      </c>
      <c r="F28" s="11">
        <v>117600000</v>
      </c>
      <c r="G28" s="11">
        <v>255000000</v>
      </c>
      <c r="H28" s="11">
        <v>372700000</v>
      </c>
      <c r="I28" s="11">
        <v>404000000</v>
      </c>
      <c r="J28" s="11">
        <v>1040000000</v>
      </c>
    </row>
    <row r="29" spans="1:14" ht="20" customHeight="1" thickTop="1" x14ac:dyDescent="0.25">
      <c r="A29" s="15" t="s">
        <v>101</v>
      </c>
      <c r="B29" s="1"/>
      <c r="C29" s="16">
        <f>(C28/B28)-1</f>
        <v>2.2309400444115468</v>
      </c>
      <c r="D29" s="16">
        <f>(D28/C28)-1</f>
        <v>-7.187262313860252</v>
      </c>
      <c r="E29" s="16">
        <f>(E28/D28)-1</f>
        <v>1.1401838014766321</v>
      </c>
      <c r="F29" s="17">
        <f t="shared" ref="F29:J29" si="5">(F28/E28)-1</f>
        <v>-0.59308521681360804</v>
      </c>
      <c r="G29" s="17">
        <f t="shared" si="5"/>
        <v>1.1683673469387754</v>
      </c>
      <c r="H29" s="17">
        <f t="shared" si="5"/>
        <v>0.46156862745098048</v>
      </c>
      <c r="I29" s="17">
        <f t="shared" si="5"/>
        <v>8.3981754762543659E-2</v>
      </c>
      <c r="J29" s="17">
        <f t="shared" si="5"/>
        <v>1.5742574257425743</v>
      </c>
    </row>
    <row r="30" spans="1:14" ht="19" x14ac:dyDescent="0.25">
      <c r="A30" s="5" t="s">
        <v>23</v>
      </c>
      <c r="B30" s="2">
        <v>-9.1999999999999998E-2</v>
      </c>
      <c r="C30" s="2">
        <f>C28/C3</f>
        <v>-0.16250930752047654</v>
      </c>
      <c r="D30" s="2">
        <v>0.40679999999999999</v>
      </c>
      <c r="E30" s="2">
        <v>0.54790000000000005</v>
      </c>
      <c r="F30" s="40">
        <f>F28/F3</f>
        <v>0.35421686746987951</v>
      </c>
      <c r="G30" s="40">
        <f t="shared" ref="G30:J30" si="6">G28/G3</f>
        <v>0.4228855721393035</v>
      </c>
      <c r="H30" s="40">
        <f t="shared" si="6"/>
        <v>0.48314752398236971</v>
      </c>
      <c r="I30" s="40">
        <f t="shared" si="6"/>
        <v>0.45337223656155312</v>
      </c>
      <c r="J30" s="40">
        <f t="shared" si="6"/>
        <v>0.47423620611035111</v>
      </c>
    </row>
    <row r="31" spans="1:14" ht="19" x14ac:dyDescent="0.25">
      <c r="A31" s="5" t="s">
        <v>24</v>
      </c>
      <c r="B31" s="12">
        <v>-0.1</v>
      </c>
      <c r="C31" s="12">
        <v>-0.27</v>
      </c>
      <c r="D31" s="12">
        <v>0.78</v>
      </c>
      <c r="E31" s="12">
        <v>1.64</v>
      </c>
      <c r="F31" s="12">
        <v>0.66</v>
      </c>
      <c r="G31" s="12">
        <v>1.44</v>
      </c>
      <c r="H31" s="12">
        <v>2.1</v>
      </c>
      <c r="I31" s="12">
        <v>2.27</v>
      </c>
      <c r="J31" s="12">
        <v>5.86</v>
      </c>
    </row>
    <row r="32" spans="1:14" ht="19" x14ac:dyDescent="0.25">
      <c r="A32" s="5" t="s">
        <v>25</v>
      </c>
      <c r="B32" s="12">
        <v>-0.1</v>
      </c>
      <c r="C32" s="12">
        <v>-0.27</v>
      </c>
      <c r="D32" s="12">
        <v>0.73</v>
      </c>
      <c r="E32" s="12">
        <v>1.49</v>
      </c>
    </row>
    <row r="33" spans="1:5" ht="19" x14ac:dyDescent="0.25">
      <c r="A33" s="5" t="s">
        <v>26</v>
      </c>
      <c r="B33" s="1">
        <v>68875874</v>
      </c>
      <c r="C33" s="1">
        <v>79690821</v>
      </c>
      <c r="D33" s="1">
        <v>173469546</v>
      </c>
      <c r="E33" s="1">
        <v>176519203</v>
      </c>
    </row>
    <row r="34" spans="1:5" ht="19" x14ac:dyDescent="0.25">
      <c r="A34" s="5" t="s">
        <v>27</v>
      </c>
      <c r="B34" s="1">
        <v>68875874</v>
      </c>
      <c r="C34" s="1">
        <v>79690821</v>
      </c>
      <c r="D34" s="1">
        <v>189844028</v>
      </c>
      <c r="E34" s="1">
        <v>193453087</v>
      </c>
    </row>
    <row r="35" spans="1:5" ht="20" customHeight="1" x14ac:dyDescent="0.25">
      <c r="A35" s="15" t="s">
        <v>102</v>
      </c>
      <c r="B35" s="1"/>
      <c r="C35" s="23">
        <f>(C34-B34)/B34</f>
        <v>0.15702083141623727</v>
      </c>
      <c r="D35" s="23">
        <f t="shared" ref="D35:E35" si="7">(D34-C34)/C34</f>
        <v>1.3822571485365924</v>
      </c>
      <c r="E35" s="23">
        <f t="shared" si="7"/>
        <v>1.9010653313782405E-2</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2757000</v>
      </c>
      <c r="C38" s="1">
        <v>519652000</v>
      </c>
      <c r="D38" s="1">
        <v>1179297000</v>
      </c>
      <c r="E38" s="1">
        <v>136627000</v>
      </c>
    </row>
    <row r="39" spans="1:5" ht="19" x14ac:dyDescent="0.25">
      <c r="A39" s="5" t="s">
        <v>31</v>
      </c>
      <c r="B39" s="1" t="s">
        <v>91</v>
      </c>
      <c r="C39" s="1" t="s">
        <v>91</v>
      </c>
      <c r="D39" s="1" t="s">
        <v>91</v>
      </c>
      <c r="E39" s="1">
        <v>1045718000</v>
      </c>
    </row>
    <row r="40" spans="1:5" ht="19" x14ac:dyDescent="0.25">
      <c r="A40" s="5" t="s">
        <v>32</v>
      </c>
      <c r="B40" s="1">
        <v>2757000</v>
      </c>
      <c r="C40" s="1">
        <v>519652000</v>
      </c>
      <c r="D40" s="1">
        <v>1179297000</v>
      </c>
      <c r="E40" s="1">
        <v>1182345000</v>
      </c>
    </row>
    <row r="41" spans="1:5" ht="19" x14ac:dyDescent="0.25">
      <c r="A41" s="5" t="s">
        <v>33</v>
      </c>
      <c r="B41" s="1">
        <v>370000</v>
      </c>
      <c r="C41" s="1">
        <v>3589000</v>
      </c>
      <c r="D41" s="1">
        <v>51009000</v>
      </c>
      <c r="E41" s="1">
        <v>35057000</v>
      </c>
    </row>
    <row r="42" spans="1:5" ht="19" x14ac:dyDescent="0.25">
      <c r="A42" s="5" t="s">
        <v>34</v>
      </c>
      <c r="B42" s="1">
        <v>23048000</v>
      </c>
      <c r="C42" s="1">
        <v>32272000</v>
      </c>
      <c r="D42" s="1">
        <v>38692000</v>
      </c>
      <c r="E42" s="1">
        <v>57554000</v>
      </c>
    </row>
    <row r="43" spans="1:5" ht="19" x14ac:dyDescent="0.25">
      <c r="A43" s="5" t="s">
        <v>35</v>
      </c>
      <c r="B43" s="1">
        <v>1234000</v>
      </c>
      <c r="C43" s="1">
        <v>5534000</v>
      </c>
      <c r="D43" s="1">
        <v>7809000</v>
      </c>
      <c r="E43" s="1">
        <v>18872000</v>
      </c>
    </row>
    <row r="44" spans="1:5" ht="19" x14ac:dyDescent="0.25">
      <c r="A44" s="6" t="s">
        <v>36</v>
      </c>
      <c r="B44" s="10">
        <v>27409000</v>
      </c>
      <c r="C44" s="10">
        <v>561047000</v>
      </c>
      <c r="D44" s="10">
        <v>1276807000</v>
      </c>
      <c r="E44" s="10">
        <v>1293828000</v>
      </c>
    </row>
    <row r="45" spans="1:5" ht="19" x14ac:dyDescent="0.25">
      <c r="A45" s="5" t="s">
        <v>37</v>
      </c>
      <c r="B45" s="1">
        <v>46972000</v>
      </c>
      <c r="C45" s="1">
        <v>501974000</v>
      </c>
      <c r="D45" s="1">
        <v>611370000</v>
      </c>
      <c r="E45" s="1">
        <v>935743000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v>136627000</v>
      </c>
    </row>
    <row r="50" spans="1:5" ht="19" x14ac:dyDescent="0.25">
      <c r="A50" s="5" t="s">
        <v>42</v>
      </c>
      <c r="B50" s="1" t="s">
        <v>91</v>
      </c>
      <c r="C50" s="1" t="s">
        <v>91</v>
      </c>
      <c r="D50" s="1" t="s">
        <v>91</v>
      </c>
      <c r="E50" s="1" t="s">
        <v>91</v>
      </c>
    </row>
    <row r="51" spans="1:5" ht="19" x14ac:dyDescent="0.25">
      <c r="A51" s="5" t="s">
        <v>43</v>
      </c>
      <c r="B51" s="1">
        <v>27413000</v>
      </c>
      <c r="C51" s="1" t="s">
        <v>91</v>
      </c>
      <c r="D51" s="1">
        <v>1489000</v>
      </c>
      <c r="E51" s="1">
        <v>-128411000</v>
      </c>
    </row>
    <row r="52" spans="1:5" ht="19" x14ac:dyDescent="0.25">
      <c r="A52" s="5" t="s">
        <v>44</v>
      </c>
      <c r="B52" s="1">
        <v>74385000</v>
      </c>
      <c r="C52" s="1">
        <v>501974000</v>
      </c>
      <c r="D52" s="1">
        <v>612859000</v>
      </c>
      <c r="E52" s="1">
        <v>943959000</v>
      </c>
    </row>
    <row r="53" spans="1:5" ht="19" x14ac:dyDescent="0.25">
      <c r="A53" s="5" t="s">
        <v>45</v>
      </c>
      <c r="B53" s="1" t="s">
        <v>91</v>
      </c>
      <c r="C53" s="1" t="s">
        <v>91</v>
      </c>
      <c r="D53" s="1" t="s">
        <v>91</v>
      </c>
      <c r="E53" s="1" t="s">
        <v>91</v>
      </c>
    </row>
    <row r="54" spans="1:5" ht="20" thickBot="1" x14ac:dyDescent="0.3">
      <c r="A54" s="7" t="s">
        <v>46</v>
      </c>
      <c r="B54" s="11">
        <v>101794000</v>
      </c>
      <c r="C54" s="11">
        <v>1063021000</v>
      </c>
      <c r="D54" s="11">
        <v>1889666000</v>
      </c>
      <c r="E54" s="11">
        <v>2237787000</v>
      </c>
    </row>
    <row r="55" spans="1:5" ht="20" thickTop="1" x14ac:dyDescent="0.25">
      <c r="A55" s="5" t="s">
        <v>47</v>
      </c>
      <c r="B55" s="1" t="s">
        <v>91</v>
      </c>
      <c r="C55" s="1">
        <v>16136000</v>
      </c>
      <c r="D55" s="1">
        <v>35734000</v>
      </c>
      <c r="E55" s="1" t="s">
        <v>91</v>
      </c>
    </row>
    <row r="56" spans="1:5" ht="19" x14ac:dyDescent="0.25">
      <c r="A56" s="5" t="s">
        <v>48</v>
      </c>
      <c r="B56" s="1" t="s">
        <v>91</v>
      </c>
      <c r="C56" s="1">
        <v>266000</v>
      </c>
      <c r="D56" s="1">
        <v>16336000</v>
      </c>
      <c r="E56" s="1">
        <v>9000000</v>
      </c>
    </row>
    <row r="57" spans="1:5" ht="19" x14ac:dyDescent="0.25">
      <c r="A57" s="5" t="s">
        <v>49</v>
      </c>
      <c r="B57" s="1" t="s">
        <v>91</v>
      </c>
      <c r="C57" s="1" t="s">
        <v>91</v>
      </c>
      <c r="D57" s="1">
        <v>3463000</v>
      </c>
      <c r="E57" s="1">
        <v>21163000</v>
      </c>
    </row>
    <row r="58" spans="1:5" ht="19" x14ac:dyDescent="0.25">
      <c r="A58" s="5" t="s">
        <v>50</v>
      </c>
      <c r="B58" s="1">
        <v>6609000</v>
      </c>
      <c r="C58" s="1">
        <v>87473000</v>
      </c>
      <c r="D58" s="1" t="s">
        <v>91</v>
      </c>
      <c r="E58" s="1" t="s">
        <v>91</v>
      </c>
    </row>
    <row r="59" spans="1:5" ht="19" x14ac:dyDescent="0.25">
      <c r="A59" s="5" t="s">
        <v>51</v>
      </c>
      <c r="B59" s="1">
        <v>24706000</v>
      </c>
      <c r="C59" s="1">
        <v>-60814000</v>
      </c>
      <c r="D59" s="1">
        <v>4010000</v>
      </c>
      <c r="E59" s="1">
        <v>76318000</v>
      </c>
    </row>
    <row r="60" spans="1:5" ht="19" x14ac:dyDescent="0.25">
      <c r="A60" s="6" t="s">
        <v>52</v>
      </c>
      <c r="B60" s="10">
        <v>31315000</v>
      </c>
      <c r="C60" s="10">
        <v>43061000</v>
      </c>
      <c r="D60" s="10">
        <v>59543000</v>
      </c>
      <c r="E60" s="10">
        <v>97481000</v>
      </c>
    </row>
    <row r="61" spans="1:5" ht="19" x14ac:dyDescent="0.25">
      <c r="A61" s="5" t="s">
        <v>53</v>
      </c>
      <c r="B61" s="1">
        <v>13594000</v>
      </c>
      <c r="C61" s="1">
        <v>2403000</v>
      </c>
      <c r="D61" s="1">
        <v>675481000</v>
      </c>
      <c r="E61" s="1">
        <v>678444000</v>
      </c>
    </row>
    <row r="62" spans="1:5" ht="19" x14ac:dyDescent="0.25">
      <c r="A62" s="5" t="s">
        <v>50</v>
      </c>
      <c r="B62" s="1">
        <v>28934000</v>
      </c>
      <c r="C62" s="1" t="s">
        <v>91</v>
      </c>
      <c r="D62" s="1" t="s">
        <v>91</v>
      </c>
      <c r="E62" s="1" t="s">
        <v>91</v>
      </c>
    </row>
    <row r="63" spans="1:5" ht="19" x14ac:dyDescent="0.25">
      <c r="A63" s="5" t="s">
        <v>54</v>
      </c>
      <c r="B63" s="1" t="s">
        <v>91</v>
      </c>
      <c r="C63" s="1" t="s">
        <v>91</v>
      </c>
      <c r="D63" s="1">
        <v>104500000</v>
      </c>
      <c r="E63" s="1">
        <v>122353000</v>
      </c>
    </row>
    <row r="64" spans="1:5" ht="19" x14ac:dyDescent="0.25">
      <c r="A64" s="5" t="s">
        <v>55</v>
      </c>
      <c r="B64" s="1">
        <v>45973000</v>
      </c>
      <c r="C64" s="1">
        <v>174947000</v>
      </c>
      <c r="D64" s="1">
        <v>41410000</v>
      </c>
      <c r="E64" s="1">
        <v>26875000</v>
      </c>
    </row>
    <row r="65" spans="1:5" ht="19" x14ac:dyDescent="0.25">
      <c r="A65" s="5" t="s">
        <v>56</v>
      </c>
      <c r="B65" s="1">
        <v>88501000</v>
      </c>
      <c r="C65" s="1">
        <v>177350000</v>
      </c>
      <c r="D65" s="1">
        <v>821391000</v>
      </c>
      <c r="E65" s="1">
        <v>827672000</v>
      </c>
    </row>
    <row r="66" spans="1:5" ht="19" x14ac:dyDescent="0.25">
      <c r="A66" s="5" t="s">
        <v>57</v>
      </c>
      <c r="B66" s="1" t="s">
        <v>91</v>
      </c>
      <c r="C66" s="1" t="s">
        <v>91</v>
      </c>
      <c r="D66" s="1" t="s">
        <v>91</v>
      </c>
      <c r="E66" s="1" t="s">
        <v>91</v>
      </c>
    </row>
    <row r="67" spans="1:5" ht="19" x14ac:dyDescent="0.25">
      <c r="A67" s="6" t="s">
        <v>58</v>
      </c>
      <c r="B67" s="10">
        <v>119816000</v>
      </c>
      <c r="C67" s="10">
        <v>220411000</v>
      </c>
      <c r="D67" s="10">
        <v>880934000</v>
      </c>
      <c r="E67" s="10">
        <v>925153000</v>
      </c>
    </row>
    <row r="68" spans="1:5" ht="19" x14ac:dyDescent="0.25">
      <c r="A68" s="5" t="s">
        <v>59</v>
      </c>
      <c r="B68" s="1">
        <v>7000</v>
      </c>
      <c r="C68" s="1">
        <v>17000</v>
      </c>
      <c r="D68" s="1">
        <v>18000</v>
      </c>
      <c r="E68" s="1">
        <v>18000</v>
      </c>
    </row>
    <row r="69" spans="1:5" ht="19" x14ac:dyDescent="0.25">
      <c r="A69" s="5" t="s">
        <v>60</v>
      </c>
      <c r="B69" s="1">
        <v>-40797000</v>
      </c>
      <c r="C69" s="1" t="s">
        <v>91</v>
      </c>
      <c r="D69" s="1">
        <v>72415000</v>
      </c>
      <c r="E69" s="1">
        <v>361419000</v>
      </c>
    </row>
    <row r="70" spans="1:5" ht="19" x14ac:dyDescent="0.25">
      <c r="A70" s="5" t="s">
        <v>61</v>
      </c>
      <c r="B70" s="1">
        <v>-7826000</v>
      </c>
      <c r="C70" s="1" t="s">
        <v>91</v>
      </c>
      <c r="D70" s="1" t="s">
        <v>91</v>
      </c>
      <c r="E70" s="1">
        <v>189000</v>
      </c>
    </row>
    <row r="71" spans="1:5" ht="19" x14ac:dyDescent="0.25">
      <c r="A71" s="5" t="s">
        <v>62</v>
      </c>
      <c r="B71" s="1">
        <v>30594000</v>
      </c>
      <c r="C71" s="1">
        <v>853860000</v>
      </c>
      <c r="D71" s="1">
        <v>936299000</v>
      </c>
      <c r="E71" s="1">
        <v>951008000</v>
      </c>
    </row>
    <row r="72" spans="1:5" ht="19" x14ac:dyDescent="0.25">
      <c r="A72" s="6" t="s">
        <v>63</v>
      </c>
      <c r="B72" s="10">
        <v>-18022000</v>
      </c>
      <c r="C72" s="10">
        <v>853877000</v>
      </c>
      <c r="D72" s="10">
        <v>1008732000</v>
      </c>
      <c r="E72" s="10">
        <v>1312634000</v>
      </c>
    </row>
    <row r="73" spans="1:5" ht="20" thickBot="1" x14ac:dyDescent="0.3">
      <c r="A73" s="7" t="s">
        <v>64</v>
      </c>
      <c r="B73" s="11">
        <v>101794000</v>
      </c>
      <c r="C73" s="11">
        <v>1074288000</v>
      </c>
      <c r="D73" s="11">
        <v>1889666000</v>
      </c>
      <c r="E73" s="11">
        <v>2237787000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-6755000</v>
      </c>
      <c r="C76" s="1">
        <v>-21825000</v>
      </c>
      <c r="D76" s="1">
        <v>135037000</v>
      </c>
      <c r="E76" s="1">
        <v>289004000</v>
      </c>
    </row>
    <row r="77" spans="1:5" ht="19" x14ac:dyDescent="0.25">
      <c r="A77" s="5" t="s">
        <v>13</v>
      </c>
      <c r="B77" s="1" t="s">
        <v>91</v>
      </c>
      <c r="C77" s="1">
        <v>63798000</v>
      </c>
      <c r="D77" s="1">
        <v>0</v>
      </c>
      <c r="E77" s="1">
        <v>18356000</v>
      </c>
    </row>
    <row r="78" spans="1:5" ht="19" x14ac:dyDescent="0.25">
      <c r="A78" s="5" t="s">
        <v>67</v>
      </c>
      <c r="B78" s="1" t="s">
        <v>91</v>
      </c>
      <c r="C78" s="1" t="s">
        <v>91</v>
      </c>
      <c r="D78" s="1" t="s">
        <v>91</v>
      </c>
      <c r="E78" s="1">
        <v>17789000</v>
      </c>
    </row>
    <row r="79" spans="1:5" ht="19" x14ac:dyDescent="0.25">
      <c r="A79" s="5" t="s">
        <v>68</v>
      </c>
      <c r="B79" s="1" t="s">
        <v>91</v>
      </c>
      <c r="C79" s="1">
        <v>5014000</v>
      </c>
      <c r="D79" s="1">
        <v>22931000</v>
      </c>
      <c r="E79" s="1">
        <v>31780000</v>
      </c>
    </row>
    <row r="80" spans="1:5" ht="19" x14ac:dyDescent="0.25">
      <c r="A80" s="15" t="s">
        <v>103</v>
      </c>
      <c r="B80" s="16" t="e">
        <f t="shared" ref="B80:E80" si="8">B79/B3</f>
        <v>#VALUE!</v>
      </c>
      <c r="C80" s="16">
        <f t="shared" si="8"/>
        <v>3.7334326135517501E-2</v>
      </c>
      <c r="D80" s="16">
        <f t="shared" si="8"/>
        <v>6.9079264471971852E-2</v>
      </c>
      <c r="E80" s="16">
        <f t="shared" si="8"/>
        <v>6.0245303406570493E-2</v>
      </c>
    </row>
    <row r="81" spans="1:13" ht="19" x14ac:dyDescent="0.25">
      <c r="A81" s="5" t="s">
        <v>69</v>
      </c>
      <c r="B81" s="1">
        <v>1911000</v>
      </c>
      <c r="C81" s="1">
        <v>-37648000</v>
      </c>
      <c r="D81" s="1">
        <v>-34287000</v>
      </c>
      <c r="E81" s="1">
        <v>-13415000</v>
      </c>
    </row>
    <row r="82" spans="1:13" ht="19" x14ac:dyDescent="0.25">
      <c r="A82" s="5" t="s">
        <v>70</v>
      </c>
      <c r="B82" s="1">
        <v>-145000</v>
      </c>
      <c r="C82" s="1">
        <v>-3219000</v>
      </c>
      <c r="D82" s="1">
        <v>-47420000</v>
      </c>
      <c r="E82" s="1">
        <v>18153000</v>
      </c>
    </row>
    <row r="83" spans="1:13" ht="21" x14ac:dyDescent="0.25">
      <c r="A83" s="5" t="s">
        <v>34</v>
      </c>
      <c r="B83" s="1">
        <v>-9573000</v>
      </c>
      <c r="C83" s="1">
        <v>-9224000</v>
      </c>
      <c r="D83" s="1">
        <v>-8229000</v>
      </c>
      <c r="E83" s="1">
        <v>-24314000</v>
      </c>
      <c r="L83" s="66" t="s">
        <v>131</v>
      </c>
      <c r="M83" s="67"/>
    </row>
    <row r="84" spans="1:13" ht="19" x14ac:dyDescent="0.25">
      <c r="A84" s="5" t="s">
        <v>47</v>
      </c>
      <c r="B84" s="1">
        <v>6246000</v>
      </c>
      <c r="C84" s="1">
        <v>-3848000</v>
      </c>
      <c r="D84" s="1">
        <v>5530000</v>
      </c>
      <c r="E84" s="1" t="s">
        <v>91</v>
      </c>
      <c r="L84" s="68" t="s">
        <v>132</v>
      </c>
      <c r="M84" s="69"/>
    </row>
    <row r="85" spans="1:13" ht="20" x14ac:dyDescent="0.25">
      <c r="A85" s="5" t="s">
        <v>71</v>
      </c>
      <c r="B85" s="1">
        <v>7062000</v>
      </c>
      <c r="C85" s="1">
        <v>-15859000</v>
      </c>
      <c r="D85" s="1">
        <v>17425000</v>
      </c>
      <c r="E85" s="1" t="s">
        <v>91</v>
      </c>
      <c r="L85" s="24" t="s">
        <v>133</v>
      </c>
      <c r="M85" s="25">
        <f>E17</f>
        <v>5786000</v>
      </c>
    </row>
    <row r="86" spans="1:13" ht="20" x14ac:dyDescent="0.25">
      <c r="A86" s="5" t="s">
        <v>72</v>
      </c>
      <c r="B86" s="1">
        <v>4407000</v>
      </c>
      <c r="C86" s="1">
        <v>-6062000</v>
      </c>
      <c r="D86" s="1">
        <v>-21710000</v>
      </c>
      <c r="E86" s="1" t="s">
        <v>91</v>
      </c>
      <c r="L86" s="24" t="s">
        <v>134</v>
      </c>
      <c r="M86" s="25">
        <f>E56</f>
        <v>9000000</v>
      </c>
    </row>
    <row r="87" spans="1:13" ht="20" x14ac:dyDescent="0.25">
      <c r="A87" s="6" t="s">
        <v>73</v>
      </c>
      <c r="B87" s="10">
        <v>-437000</v>
      </c>
      <c r="C87" s="10">
        <v>3277000</v>
      </c>
      <c r="D87" s="10">
        <v>101971000</v>
      </c>
      <c r="E87" s="10">
        <v>343514000</v>
      </c>
      <c r="L87" s="24" t="s">
        <v>135</v>
      </c>
      <c r="M87" s="25">
        <f>E61</f>
        <v>678444000</v>
      </c>
    </row>
    <row r="88" spans="1:13" ht="20" x14ac:dyDescent="0.25">
      <c r="A88" s="5" t="s">
        <v>74</v>
      </c>
      <c r="B88" s="1">
        <v>-2274000</v>
      </c>
      <c r="C88" s="1">
        <v>-22370000</v>
      </c>
      <c r="D88" s="1">
        <v>-123870000</v>
      </c>
      <c r="E88" s="1">
        <v>-326595000</v>
      </c>
      <c r="L88" s="41" t="s">
        <v>136</v>
      </c>
      <c r="M88" s="42">
        <f>M85/(M86+M87)</f>
        <v>8.4166855772979318E-3</v>
      </c>
    </row>
    <row r="89" spans="1:13" ht="20" customHeight="1" x14ac:dyDescent="0.25">
      <c r="A89" s="15" t="s">
        <v>104</v>
      </c>
      <c r="B89" s="16">
        <f t="shared" ref="B89:E89" si="9">(-1*B88)/B3</f>
        <v>3.0976284208088706E-2</v>
      </c>
      <c r="C89" s="16">
        <f t="shared" si="9"/>
        <v>0.1665673864482502</v>
      </c>
      <c r="D89" s="16">
        <f t="shared" si="9"/>
        <v>0.37315635995565621</v>
      </c>
      <c r="E89" s="16">
        <f t="shared" si="9"/>
        <v>0.61912570377812748</v>
      </c>
      <c r="L89" s="24" t="s">
        <v>105</v>
      </c>
      <c r="M89" s="25">
        <f>E27</f>
        <v>52148000</v>
      </c>
    </row>
    <row r="90" spans="1:13" ht="20" x14ac:dyDescent="0.25">
      <c r="A90" s="5" t="s">
        <v>75</v>
      </c>
      <c r="B90" s="1" t="s">
        <v>91</v>
      </c>
      <c r="C90" s="1" t="s">
        <v>91</v>
      </c>
      <c r="D90" s="1" t="s">
        <v>91</v>
      </c>
      <c r="E90" s="1" t="s">
        <v>91</v>
      </c>
      <c r="L90" s="24" t="s">
        <v>19</v>
      </c>
      <c r="M90" s="25">
        <f>E25</f>
        <v>341152000</v>
      </c>
    </row>
    <row r="91" spans="1:13" ht="20" x14ac:dyDescent="0.25">
      <c r="A91" s="5" t="s">
        <v>76</v>
      </c>
      <c r="B91" s="1" t="s">
        <v>91</v>
      </c>
      <c r="C91" s="1" t="s">
        <v>91</v>
      </c>
      <c r="D91" s="1" t="s">
        <v>91</v>
      </c>
      <c r="E91" s="1">
        <v>-2779666000</v>
      </c>
      <c r="L91" s="41" t="s">
        <v>137</v>
      </c>
      <c r="M91" s="42">
        <f>M89/M90</f>
        <v>0.15285854985461025</v>
      </c>
    </row>
    <row r="92" spans="1:13" ht="20" x14ac:dyDescent="0.25">
      <c r="A92" s="5" t="s">
        <v>77</v>
      </c>
      <c r="B92" s="1" t="s">
        <v>91</v>
      </c>
      <c r="C92" s="1" t="s">
        <v>91</v>
      </c>
      <c r="D92" s="1" t="s">
        <v>91</v>
      </c>
      <c r="E92" s="1">
        <v>1744160000</v>
      </c>
      <c r="L92" s="43" t="s">
        <v>138</v>
      </c>
      <c r="M92" s="44">
        <f>M88*(1-M91)</f>
        <v>7.1301232253699574E-3</v>
      </c>
    </row>
    <row r="93" spans="1:13" ht="19" x14ac:dyDescent="0.25">
      <c r="A93" s="5" t="s">
        <v>78</v>
      </c>
      <c r="B93" s="1">
        <v>7898000</v>
      </c>
      <c r="C93" s="1" t="s">
        <v>91</v>
      </c>
      <c r="D93" s="1">
        <v>4507000</v>
      </c>
      <c r="E93" s="1">
        <v>5130000</v>
      </c>
      <c r="L93" s="68" t="s">
        <v>139</v>
      </c>
      <c r="M93" s="69"/>
    </row>
    <row r="94" spans="1:13" ht="20" x14ac:dyDescent="0.25">
      <c r="A94" s="6" t="s">
        <v>79</v>
      </c>
      <c r="B94" s="10">
        <v>5624000</v>
      </c>
      <c r="C94" s="10">
        <v>-22370000</v>
      </c>
      <c r="D94" s="10">
        <v>-119363000</v>
      </c>
      <c r="E94" s="10">
        <v>-1356971000</v>
      </c>
      <c r="L94" s="24" t="s">
        <v>140</v>
      </c>
      <c r="M94" s="45">
        <f>[1]Treasuries!$C$8</f>
        <v>3.7280000000000001E-2</v>
      </c>
    </row>
    <row r="95" spans="1:13" ht="20" x14ac:dyDescent="0.25">
      <c r="A95" s="5" t="s">
        <v>80</v>
      </c>
      <c r="B95" s="1">
        <v>-11332000</v>
      </c>
      <c r="C95" s="1">
        <v>-20180000</v>
      </c>
      <c r="D95" s="1">
        <v>-2435000</v>
      </c>
      <c r="E95" s="1">
        <v>-19400000</v>
      </c>
      <c r="L95" s="46" t="s">
        <v>141</v>
      </c>
      <c r="M95" s="47" cm="1">
        <f t="array" ref="M95">_FV(A1,"Beta")</f>
        <v>1.6479999999999999</v>
      </c>
    </row>
    <row r="96" spans="1:13" ht="20" x14ac:dyDescent="0.25">
      <c r="A96" s="5" t="s">
        <v>81</v>
      </c>
      <c r="B96" s="1" t="s">
        <v>91</v>
      </c>
      <c r="C96" s="1">
        <v>544712000</v>
      </c>
      <c r="D96" s="1" t="s">
        <v>91</v>
      </c>
      <c r="E96" s="1" t="s">
        <v>91</v>
      </c>
      <c r="L96" s="24" t="s">
        <v>142</v>
      </c>
      <c r="M96" s="45">
        <v>8.4000000000000005E-2</v>
      </c>
    </row>
    <row r="97" spans="1:13" ht="20" x14ac:dyDescent="0.25">
      <c r="A97" s="5" t="s">
        <v>82</v>
      </c>
      <c r="B97" s="1" t="s">
        <v>91</v>
      </c>
      <c r="C97" s="1" t="s">
        <v>91</v>
      </c>
      <c r="D97" s="1" t="s">
        <v>91</v>
      </c>
      <c r="E97" s="1" t="s">
        <v>91</v>
      </c>
      <c r="L97" s="43" t="s">
        <v>143</v>
      </c>
      <c r="M97" s="44">
        <f>(M94)+((M95)*(M96-M94))</f>
        <v>0.11427456</v>
      </c>
    </row>
    <row r="98" spans="1:13" ht="19" x14ac:dyDescent="0.25">
      <c r="A98" s="5" t="s">
        <v>83</v>
      </c>
      <c r="B98" s="1" t="s">
        <v>91</v>
      </c>
      <c r="C98" s="1" t="s">
        <v>91</v>
      </c>
      <c r="D98" s="1" t="s">
        <v>91</v>
      </c>
      <c r="E98" s="1" t="s">
        <v>91</v>
      </c>
      <c r="L98" s="68" t="s">
        <v>144</v>
      </c>
      <c r="M98" s="69"/>
    </row>
    <row r="99" spans="1:13" ht="20" x14ac:dyDescent="0.25">
      <c r="A99" s="5" t="s">
        <v>84</v>
      </c>
      <c r="B99" s="1">
        <v>7236000</v>
      </c>
      <c r="C99" s="1">
        <v>-2571000</v>
      </c>
      <c r="D99" s="1">
        <v>668544000</v>
      </c>
      <c r="E99" s="1">
        <v>-4791000</v>
      </c>
      <c r="L99" s="24" t="s">
        <v>145</v>
      </c>
      <c r="M99" s="25">
        <f>M86+M87</f>
        <v>687444000</v>
      </c>
    </row>
    <row r="100" spans="1:13" ht="20" x14ac:dyDescent="0.25">
      <c r="A100" s="6" t="s">
        <v>85</v>
      </c>
      <c r="B100" s="10">
        <v>-4096000</v>
      </c>
      <c r="C100" s="10">
        <v>521961000</v>
      </c>
      <c r="D100" s="10">
        <v>666109000</v>
      </c>
      <c r="E100" s="10">
        <v>-24191000</v>
      </c>
      <c r="L100" s="41" t="s">
        <v>146</v>
      </c>
      <c r="M100" s="42">
        <f>M99/M103</f>
        <v>0.14527957356972113</v>
      </c>
    </row>
    <row r="101" spans="1:13" ht="20" x14ac:dyDescent="0.25">
      <c r="A101" s="5" t="s">
        <v>86</v>
      </c>
      <c r="B101" s="1" t="s">
        <v>91</v>
      </c>
      <c r="C101" s="1" t="s">
        <v>91</v>
      </c>
      <c r="D101" s="1" t="s">
        <v>91</v>
      </c>
      <c r="E101" s="1" t="s">
        <v>91</v>
      </c>
      <c r="L101" s="46" t="s">
        <v>147</v>
      </c>
      <c r="M101" s="48" cm="1">
        <f t="array" ref="M101">_FV(A1,"Market cap",TRUE)</f>
        <v>4044425616</v>
      </c>
    </row>
    <row r="102" spans="1:13" ht="20" x14ac:dyDescent="0.25">
      <c r="A102" s="6" t="s">
        <v>87</v>
      </c>
      <c r="B102" s="10">
        <v>1091000</v>
      </c>
      <c r="C102" s="10">
        <v>502868000</v>
      </c>
      <c r="D102" s="10">
        <v>648717000</v>
      </c>
      <c r="E102" s="10">
        <v>-1037648000</v>
      </c>
      <c r="L102" s="41" t="s">
        <v>148</v>
      </c>
      <c r="M102" s="42">
        <f>M101/M103</f>
        <v>0.8547204264302789</v>
      </c>
    </row>
    <row r="103" spans="1:13" ht="20" x14ac:dyDescent="0.25">
      <c r="A103" s="5" t="s">
        <v>88</v>
      </c>
      <c r="B103" s="1">
        <v>28481000</v>
      </c>
      <c r="C103" s="1">
        <v>29572000</v>
      </c>
      <c r="D103" s="1">
        <v>532440000</v>
      </c>
      <c r="E103" s="1">
        <v>1181157000</v>
      </c>
      <c r="L103" s="43" t="s">
        <v>149</v>
      </c>
      <c r="M103" s="49">
        <f>M99+M101</f>
        <v>4731869616</v>
      </c>
    </row>
    <row r="104" spans="1:13" ht="20" thickBot="1" x14ac:dyDescent="0.3">
      <c r="A104" s="7" t="s">
        <v>89</v>
      </c>
      <c r="B104" s="11">
        <v>29572000</v>
      </c>
      <c r="C104" s="11">
        <v>532440000</v>
      </c>
      <c r="D104" s="11">
        <v>1181157000</v>
      </c>
      <c r="E104" s="11">
        <v>143509000</v>
      </c>
      <c r="L104" s="68" t="s">
        <v>150</v>
      </c>
      <c r="M104" s="69"/>
    </row>
    <row r="105" spans="1:13" ht="21" thickTop="1" x14ac:dyDescent="0.25">
      <c r="A105" s="15" t="s">
        <v>106</v>
      </c>
      <c r="B105" s="1" t="e">
        <f t="shared" ref="B105" si="10">((B22*(1-$N$91))+B77+B88+B81)</f>
        <v>#VALUE!</v>
      </c>
      <c r="C105" s="1">
        <f t="shared" ref="C105:D105" si="11">((C22*(1-$M$91))+C77+C88+C81)</f>
        <v>-25618349.744395465</v>
      </c>
      <c r="D105" s="1">
        <f t="shared" si="11"/>
        <v>-18086396.925710529</v>
      </c>
      <c r="E105" s="1">
        <f>((E22*(1-$M$91))+E77+E88+E81)</f>
        <v>-44290570.666447818</v>
      </c>
      <c r="F105" s="26">
        <f>E105*(1+$N$106)</f>
        <v>-44290570.666447818</v>
      </c>
      <c r="G105" s="26">
        <f t="shared" ref="G105:J105" si="12">F105*(1+$N$106)</f>
        <v>-44290570.666447818</v>
      </c>
      <c r="H105" s="26">
        <f t="shared" si="12"/>
        <v>-44290570.666447818</v>
      </c>
      <c r="I105" s="26">
        <f t="shared" si="12"/>
        <v>-44290570.666447818</v>
      </c>
      <c r="J105" s="26">
        <f t="shared" si="12"/>
        <v>-44290570.666447818</v>
      </c>
      <c r="K105" s="27" t="s">
        <v>107</v>
      </c>
      <c r="L105" s="28" t="s">
        <v>108</v>
      </c>
      <c r="M105" s="29">
        <f>(M100*M92)+(M102*M97)</f>
        <v>9.8708661915013804E-2</v>
      </c>
    </row>
    <row r="106" spans="1:13" ht="21" customHeight="1" x14ac:dyDescent="0.25">
      <c r="A106" s="15" t="s">
        <v>109</v>
      </c>
      <c r="B106" s="16" t="e">
        <f t="shared" ref="B106:E106" si="13">(B107/A107)-1</f>
        <v>#VALUE!</v>
      </c>
      <c r="C106" s="16">
        <f t="shared" si="13"/>
        <v>6.0427886388786423</v>
      </c>
      <c r="D106" s="16">
        <f t="shared" si="13"/>
        <v>0.14696485623003186</v>
      </c>
      <c r="E106" s="16">
        <f t="shared" si="13"/>
        <v>-1.772592355815334</v>
      </c>
      <c r="F106" s="30">
        <v>-144500000</v>
      </c>
      <c r="G106" s="30">
        <v>89971000</v>
      </c>
      <c r="H106" s="30">
        <v>326000000</v>
      </c>
      <c r="I106" s="30">
        <v>325200000</v>
      </c>
      <c r="J106" s="30">
        <v>533800000</v>
      </c>
      <c r="K106" s="27" t="s">
        <v>110</v>
      </c>
      <c r="L106" s="31" t="s">
        <v>111</v>
      </c>
      <c r="M106" s="32">
        <f>(SUM(F4:J4)/5)</f>
        <v>0.46821659971279478</v>
      </c>
    </row>
    <row r="107" spans="1:13" ht="19" x14ac:dyDescent="0.25">
      <c r="A107" s="14" t="s">
        <v>162</v>
      </c>
      <c r="B107" s="1">
        <v>-2711000</v>
      </c>
      <c r="C107" s="1">
        <v>-19093000</v>
      </c>
      <c r="D107" s="1">
        <v>-21899000</v>
      </c>
      <c r="E107" s="1">
        <v>16919000</v>
      </c>
      <c r="F107" s="27"/>
      <c r="G107" s="27"/>
      <c r="H107" s="27"/>
      <c r="I107" s="27"/>
      <c r="J107" s="50">
        <f>J106*(1+M107)/(M108-M107)</f>
        <v>7423076010.1283493</v>
      </c>
      <c r="K107" s="51" t="s">
        <v>151</v>
      </c>
      <c r="L107" s="52" t="s">
        <v>152</v>
      </c>
      <c r="M107" s="53">
        <v>2.5000000000000001E-2</v>
      </c>
    </row>
    <row r="108" spans="1:13" ht="19" x14ac:dyDescent="0.25">
      <c r="A108" s="5"/>
      <c r="B108" s="13"/>
      <c r="C108" s="13"/>
      <c r="D108" s="13"/>
      <c r="E108" s="13"/>
      <c r="F108" s="50">
        <f t="shared" ref="F108:I108" si="14">F107+F106</f>
        <v>-144500000</v>
      </c>
      <c r="G108" s="50">
        <f t="shared" si="14"/>
        <v>89971000</v>
      </c>
      <c r="H108" s="50">
        <f t="shared" si="14"/>
        <v>326000000</v>
      </c>
      <c r="I108" s="50">
        <f t="shared" si="14"/>
        <v>325200000</v>
      </c>
      <c r="J108" s="50">
        <f>J107+J106</f>
        <v>7956876010.1283493</v>
      </c>
      <c r="K108" s="51" t="s">
        <v>149</v>
      </c>
      <c r="L108" s="54" t="s">
        <v>153</v>
      </c>
      <c r="M108" s="55">
        <f>M105</f>
        <v>9.8708661915013804E-2</v>
      </c>
    </row>
    <row r="109" spans="1:13" ht="19" x14ac:dyDescent="0.25">
      <c r="F109" s="64" t="s">
        <v>154</v>
      </c>
      <c r="G109" s="65"/>
    </row>
    <row r="110" spans="1:13" ht="20" x14ac:dyDescent="0.25">
      <c r="F110" s="56" t="s">
        <v>155</v>
      </c>
      <c r="G110" s="48">
        <f>NPV(M108,F108,G108,H108,I108,J108)</f>
        <v>5381664646.2892189</v>
      </c>
    </row>
    <row r="111" spans="1:13" ht="20" x14ac:dyDescent="0.25">
      <c r="F111" s="56" t="s">
        <v>156</v>
      </c>
      <c r="G111" s="48">
        <f>E40</f>
        <v>1182345000</v>
      </c>
    </row>
    <row r="112" spans="1:13" ht="20" x14ac:dyDescent="0.25">
      <c r="F112" s="56" t="s">
        <v>145</v>
      </c>
      <c r="G112" s="48">
        <f>M99</f>
        <v>687444000</v>
      </c>
    </row>
    <row r="113" spans="6:7" ht="20" x14ac:dyDescent="0.25">
      <c r="F113" s="56" t="s">
        <v>157</v>
      </c>
      <c r="G113" s="48">
        <f>G110+G111-G112</f>
        <v>5876565646.2892189</v>
      </c>
    </row>
    <row r="114" spans="6:7" ht="20" x14ac:dyDescent="0.25">
      <c r="F114" s="56" t="s">
        <v>164</v>
      </c>
      <c r="G114" s="57">
        <f>E34*(1+(5*0.05))</f>
        <v>241816358.75</v>
      </c>
    </row>
    <row r="115" spans="6:7" ht="20" x14ac:dyDescent="0.25">
      <c r="F115" s="58" t="s">
        <v>158</v>
      </c>
      <c r="G115" s="59">
        <f>G113/G114</f>
        <v>24.301770470229691</v>
      </c>
    </row>
    <row r="116" spans="6:7" ht="20" x14ac:dyDescent="0.25">
      <c r="F116" s="56" t="s">
        <v>159</v>
      </c>
      <c r="G116" s="60" cm="1">
        <f t="array" ref="G116">_FV(A1,"Price")</f>
        <v>22.77</v>
      </c>
    </row>
    <row r="117" spans="6:7" ht="20" x14ac:dyDescent="0.25">
      <c r="F117" s="61" t="s">
        <v>160</v>
      </c>
      <c r="G117" s="62">
        <f>G115/G116-1</f>
        <v>6.7271430400952736E-2</v>
      </c>
    </row>
    <row r="118" spans="6:7" ht="20" x14ac:dyDescent="0.25">
      <c r="F118" s="61" t="s">
        <v>161</v>
      </c>
      <c r="G118" s="63" t="str">
        <f>IF(G115&gt;G116,"BUY","SELL")</f>
        <v>BUY</v>
      </c>
    </row>
  </sheetData>
  <mergeCells count="6">
    <mergeCell ref="F109:G109"/>
    <mergeCell ref="L83:M83"/>
    <mergeCell ref="L84:M84"/>
    <mergeCell ref="L93:M93"/>
    <mergeCell ref="L98:M98"/>
    <mergeCell ref="L104:M104"/>
  </mergeCells>
  <hyperlinks>
    <hyperlink ref="A1" r:id="rId1" tooltip="https://roic.ai/company/MP" display="ROIC.AI | MP" xr:uid="{00000000-0004-0000-0000-000000000000}"/>
    <hyperlink ref="B36" r:id="rId2" tooltip="https://sec.gov" xr:uid="{00000000-0004-0000-0000-000001000000}"/>
    <hyperlink ref="B74" r:id="rId3" tooltip="https://sec.gov" xr:uid="{00000000-0004-0000-0000-000002000000}"/>
    <hyperlink ref="C36" r:id="rId4" tooltip="https://www.sec.gov/Archives/edgar/data/1801368/000180136821000011/0001801368-21-000011-index.htm" xr:uid="{00000000-0004-0000-0000-000004000000}"/>
    <hyperlink ref="C74" r:id="rId5" tooltip="https://www.sec.gov/Archives/edgar/data/1801368/000180136821000011/0001801368-21-000011-index.htm" xr:uid="{00000000-0004-0000-0000-000005000000}"/>
    <hyperlink ref="D36" r:id="rId6" tooltip="https://www.sec.gov/Archives/edgar/data/1801368/000180136822000010/0001801368-22-000010-index.htm" xr:uid="{00000000-0004-0000-0000-000007000000}"/>
    <hyperlink ref="D74" r:id="rId7" tooltip="https://www.sec.gov/Archives/edgar/data/1801368/000180136822000010/0001801368-22-000010-index.htm" xr:uid="{00000000-0004-0000-0000-000008000000}"/>
    <hyperlink ref="E36" r:id="rId8" tooltip="https://www.sec.gov/Archives/edgar/data/1801368/000180136823000009/0001801368-23-000009-index.htm" xr:uid="{00000000-0004-0000-0000-00000A000000}"/>
    <hyperlink ref="E74" r:id="rId9" tooltip="https://www.sec.gov/Archives/edgar/data/1801368/000180136823000009/0001801368-23-000009-index.htm" xr:uid="{00000000-0004-0000-0000-00000B000000}"/>
    <hyperlink ref="F1" r:id="rId10" display="https://finbox.com/NASDAQGS:JAMF/explorer/revenue_proj" xr:uid="{B79BD29E-BA4E-B841-927C-9E32164CD081}"/>
    <hyperlink ref="K106" r:id="rId11" xr:uid="{02EA6E50-5E38-FE49-8D73-DED31F1CD02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2023-03-14T05:21:22Z</dcterms:created>
  <dcterms:modified xsi:type="dcterms:W3CDTF">2023-06-17T08:30:03Z</dcterms:modified>
</cp:coreProperties>
</file>