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DFEC1A4-15F5-534E-9E44-62CFDF22673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1" l="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X116" i="1" l="1" a="1"/>
  <c r="X116" i="1" s="1"/>
  <c r="AD101" i="1" a="1"/>
  <c r="AD101" i="1" s="1"/>
  <c r="AD95" i="1" a="1"/>
  <c r="AD95" i="1" s="1"/>
  <c r="AD97" i="1" s="1"/>
  <c r="X111" i="1"/>
  <c r="AD90" i="1"/>
  <c r="AD89" i="1"/>
  <c r="AD91" i="1" s="1"/>
  <c r="AD87" i="1"/>
  <c r="AD86" i="1"/>
  <c r="AD99" i="1" s="1"/>
  <c r="AD85" i="1"/>
  <c r="AD88" i="1" s="1"/>
  <c r="AB19" i="1"/>
  <c r="AB16" i="1"/>
  <c r="AE13" i="1"/>
  <c r="AD13" i="1"/>
  <c r="AC13" i="1"/>
  <c r="AB13" i="1"/>
  <c r="AE10" i="1"/>
  <c r="AD10" i="1"/>
  <c r="AC10" i="1"/>
  <c r="AB10" i="1"/>
  <c r="AE7" i="1"/>
  <c r="AD7" i="1"/>
  <c r="AC7" i="1"/>
  <c r="AB7" i="1"/>
  <c r="AD4" i="1"/>
  <c r="AC4" i="1"/>
  <c r="AB4" i="1"/>
  <c r="AA4" i="1"/>
  <c r="Z4" i="1"/>
  <c r="Y4" i="1"/>
  <c r="X4" i="1"/>
  <c r="W4" i="1"/>
  <c r="V106" i="1"/>
  <c r="AE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AD16" i="1"/>
  <c r="AE16" i="1"/>
  <c r="AC16" i="1"/>
  <c r="AD92" i="1"/>
  <c r="X108" i="1"/>
  <c r="AD103" i="1"/>
  <c r="AD100" i="1" s="1"/>
  <c r="X112" i="1"/>
  <c r="W108" i="1"/>
  <c r="AD102" i="1" l="1"/>
  <c r="AD105" i="1" s="1"/>
  <c r="AD108" i="1" s="1"/>
  <c r="Y108" i="1"/>
  <c r="AA107" i="1" l="1"/>
  <c r="AA108" i="1" s="1"/>
  <c r="X110" i="1" s="1"/>
  <c r="X113" i="1" s="1"/>
  <c r="X115" i="1" s="1"/>
  <c r="Z108" i="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<sst xmlns="http://schemas.openxmlformats.org/spreadsheetml/2006/main" count="760" uniqueCount="162">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</sst>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SMCI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490066225165569E-2"/>
          <c:y val="0.10049957058120029"/>
          <c:w val="0.8572317880794702"/>
          <c:h val="0.799866920304686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numCache>
            </c:numRef>
          </c:val>
          <c:extLst>
            <c:ext xmlns:c16="http://schemas.microsoft.com/office/drawing/2014/chart" uri="{C3380CC4-5D6E-409C-BE32-E72D297353CC}">
              <c16:uniqueId val="{00000000-23C0-0F47-A1FF-AABE35EB15B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1774000</c:v>
                </c:pt>
                <c:pt idx="1">
                  <c:v>1661000</c:v>
                </c:pt>
                <c:pt idx="2">
                  <c:v>4854000</c:v>
                </c:pt>
                <c:pt idx="3">
                  <c:v>11651000</c:v>
                </c:pt>
                <c:pt idx="4">
                  <c:v>27836000</c:v>
                </c:pt>
                <c:pt idx="5">
                  <c:v>30978000</c:v>
                </c:pt>
                <c:pt idx="6">
                  <c:v>43468000</c:v>
                </c:pt>
                <c:pt idx="7">
                  <c:v>27382000</c:v>
                </c:pt>
                <c:pt idx="8">
                  <c:v>45467000</c:v>
                </c:pt>
                <c:pt idx="9">
                  <c:v>64212000</c:v>
                </c:pt>
                <c:pt idx="10">
                  <c:v>53139000</c:v>
                </c:pt>
                <c:pt idx="11">
                  <c:v>35041000</c:v>
                </c:pt>
                <c:pt idx="12">
                  <c:v>86715000</c:v>
                </c:pt>
                <c:pt idx="13">
                  <c:v>154994000</c:v>
                </c:pt>
                <c:pt idx="14">
                  <c:v>120303000</c:v>
                </c:pt>
                <c:pt idx="15">
                  <c:v>109945000</c:v>
                </c:pt>
                <c:pt idx="16">
                  <c:v>112180000</c:v>
                </c:pt>
                <c:pt idx="17">
                  <c:v>117694000</c:v>
                </c:pt>
                <c:pt idx="18">
                  <c:v>117938000</c:v>
                </c:pt>
                <c:pt idx="19">
                  <c:v>149471000</c:v>
                </c:pt>
                <c:pt idx="20">
                  <c:v>376923000</c:v>
                </c:pt>
              </c:numCache>
            </c:numRef>
          </c:val>
          <c:extLst>
            <c:ext xmlns:c16="http://schemas.microsoft.com/office/drawing/2014/chart" uri="{C3380CC4-5D6E-409C-BE32-E72D297353CC}">
              <c16:uniqueId val="{00000001-23C0-0F47-A1FF-AABE35EB15B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numCache>
            </c:numRef>
          </c:val>
          <c:extLst>
            <c:ext xmlns:c16="http://schemas.microsoft.com/office/drawing/2014/chart" uri="{C3380CC4-5D6E-409C-BE32-E72D297353CC}">
              <c16:uniqueId val="{00000002-23C0-0F47-A1FF-AABE35EB15B0}"/>
            </c:ext>
          </c:extLst>
        </c:ser>
        <c:dLbls>
          <c:showLegendKey val="0"/>
          <c:showVal val="0"/>
          <c:showCatName val="0"/>
          <c:showSerName val="0"/>
          <c:showPercent val="0"/>
          <c:showBubbleSize val="0"/>
        </c:dLbls>
        <c:gapWidth val="100"/>
        <c:overlap val="-24"/>
        <c:axId val="1434973248"/>
        <c:axId val="1434974976"/>
      </c:barChart>
      <c:catAx>
        <c:axId val="1434973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4974976"/>
        <c:crosses val="autoZero"/>
        <c:auto val="1"/>
        <c:lblAlgn val="ctr"/>
        <c:lblOffset val="100"/>
        <c:noMultiLvlLbl val="0"/>
      </c:catAx>
      <c:valAx>
        <c:axId val="1434974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4973248"/>
        <c:crosses val="autoZero"/>
        <c:crossBetween val="between"/>
      </c:valAx>
      <c:spPr>
        <a:noFill/>
        <a:ln>
          <a:noFill/>
        </a:ln>
        <a:effectLst/>
      </c:spPr>
    </c:plotArea>
    <c:legend>
      <c:legendPos val="b"/>
      <c:layout>
        <c:manualLayout>
          <c:xMode val="edge"/>
          <c:yMode val="edge"/>
          <c:x val="0.36544078844449079"/>
          <c:y val="0.93374413060752726"/>
          <c:w val="0.30355550920373364"/>
          <c:h val="4.1791037588191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15875</xdr:colOff>
      <xdr:row>108</xdr:row>
      <xdr:rowOff>25400</xdr:rowOff>
    </xdr:from>
    <xdr:to>
      <xdr:col>29</xdr:col>
      <xdr:colOff>1587500</xdr:colOff>
      <xdr:row>136</xdr:row>
      <xdr:rowOff>15875</xdr:rowOff>
    </xdr:to>
    <xdr:graphicFrame macro="">
      <xdr:nvGraphicFramePr>
        <xdr:cNvPr id="2" name="Chart 1">
          <a:extLst>
            <a:ext uri="{FF2B5EF4-FFF2-40B4-BE49-F238E27FC236}">
              <a16:creationId xmlns:a16="http://schemas.microsoft.com/office/drawing/2014/main" id="{EB45F29B-1054-3E94-183F-6E138E2C2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270.18</v>
    <v>37.01</v>
    <v>1.1637999999999999</v>
    <v>6.55</v>
    <v>2.9784999999999999E-2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241.9699</v>
    <v>Computers, Phones &amp; Household Electronics</v>
    <v>Stock</v>
    <v>45099.999989131247</v>
    <v>0</v>
    <v>221.14</v>
    <v>11542750000</v>
    <v>SUPER MICRO COMPUTER, INC.</v>
    <v>SUPER MICRO COMPUTER, INC.</v>
    <v>221.99</v>
    <v>21.340399999999999</v>
    <v>219.91</v>
    <v>226.46</v>
    <v>52488490</v>
    <v>SMCI</v>
    <v>SUPER MICRO COMPUTER, INC. (XNAS:SMCI)</v>
    <v>3864</v>
    <v>3211314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ASDAQGS: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46" Type="http://schemas.openxmlformats.org/officeDocument/2006/relationships/drawing" Target="../drawings/drawing1.xm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104" activePane="bottomRight" state="frozen"/>
      <selection pane="topRight"/>
      <selection pane="bottomLeft"/>
      <selection pane="bottomRight" activeCell="W129" sqref="W129"/>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8">
        <v>6740000000</v>
      </c>
      <c r="X3" s="28">
        <v>8060000000</v>
      </c>
      <c r="Y3" s="28">
        <v>9500000000</v>
      </c>
      <c r="Z3" s="28">
        <v>10500000000</v>
      </c>
      <c r="AA3" s="28">
        <v>11200000000</v>
      </c>
      <c r="AB3" s="18" t="s">
        <v>107</v>
      </c>
      <c r="AC3" s="19" t="s">
        <v>108</v>
      </c>
      <c r="AD3" s="19" t="s">
        <v>109</v>
      </c>
      <c r="AE3" s="19" t="s">
        <v>110</v>
      </c>
    </row>
    <row r="4" spans="1:31" ht="19" x14ac:dyDescent="0.25">
      <c r="A4" s="14" t="s">
        <v>93</v>
      </c>
      <c r="B4" s="1"/>
      <c r="C4" s="15">
        <f>(C3/B3)-1</f>
        <v>0.53528694075375816</v>
      </c>
      <c r="D4" s="15">
        <f>(D3/C3)-1</f>
        <v>0.21802115761769025</v>
      </c>
      <c r="E4" s="15">
        <f>(E3/D3)-1</f>
        <v>0.26754855894412355</v>
      </c>
      <c r="F4" s="15">
        <f t="shared" ref="F4:AA4" si="0">(F3/E3)-1</f>
        <v>0.42867734212303388</v>
      </c>
      <c r="G4" s="15">
        <f t="shared" si="0"/>
        <v>0.38954059119259865</v>
      </c>
      <c r="H4" s="16">
        <f t="shared" si="0"/>
        <v>0.28570884862497703</v>
      </c>
      <c r="I4" s="16">
        <f t="shared" si="0"/>
        <v>-6.4558383579739642E-2</v>
      </c>
      <c r="J4" s="16">
        <f t="shared" si="0"/>
        <v>0.42686937930297919</v>
      </c>
      <c r="K4" s="16">
        <f t="shared" si="0"/>
        <v>0.30653223145994524</v>
      </c>
      <c r="L4" s="16">
        <f t="shared" si="0"/>
        <v>7.5634798882219245E-2</v>
      </c>
      <c r="M4" s="16">
        <f t="shared" si="0"/>
        <v>0.14665234536046889</v>
      </c>
      <c r="N4" s="16">
        <f t="shared" si="0"/>
        <v>0.26204302397895685</v>
      </c>
      <c r="O4" s="16">
        <f t="shared" si="0"/>
        <v>0.35711033654534274</v>
      </c>
      <c r="P4" s="16">
        <f t="shared" si="0"/>
        <v>0.11270744869183957</v>
      </c>
      <c r="Q4" s="16">
        <f t="shared" si="0"/>
        <v>0.12157396754699579</v>
      </c>
      <c r="R4" s="16">
        <f t="shared" si="0"/>
        <v>0.35234930253540453</v>
      </c>
      <c r="S4" s="16">
        <f t="shared" si="0"/>
        <v>4.1621286406871461E-2</v>
      </c>
      <c r="T4" s="16">
        <f t="shared" si="0"/>
        <v>-4.6017838165217317E-2</v>
      </c>
      <c r="U4" s="16">
        <f t="shared" si="0"/>
        <v>6.5325739283396578E-2</v>
      </c>
      <c r="V4" s="16">
        <f t="shared" si="0"/>
        <v>0.46063610108668573</v>
      </c>
      <c r="W4" s="16">
        <f t="shared" si="0"/>
        <v>0.29712694080693991</v>
      </c>
      <c r="X4" s="16">
        <f t="shared" si="0"/>
        <v>0.19584569732937696</v>
      </c>
      <c r="Y4" s="16">
        <f t="shared" si="0"/>
        <v>0.17866004962779147</v>
      </c>
      <c r="Z4" s="16">
        <f t="shared" si="0"/>
        <v>0.10526315789473695</v>
      </c>
      <c r="AA4" s="16">
        <f t="shared" si="0"/>
        <v>6.6666666666666652E-2</v>
      </c>
      <c r="AB4" s="17">
        <f>(V4+U4+T4)/3</f>
        <v>0.15998133406828832</v>
      </c>
      <c r="AC4" s="17">
        <f>(V20+U20+T20)/3</f>
        <v>0.5970519035230929</v>
      </c>
      <c r="AD4" s="17">
        <f>(V29+U29+T29)/3</f>
        <v>0.68277048318359268</v>
      </c>
      <c r="AE4" s="17">
        <f>(V106+U106+T106)/3</f>
        <v>-0.40145301622836621</v>
      </c>
    </row>
    <row r="5" spans="1:31" ht="19" x14ac:dyDescent="0.25">
      <c r="A5" s="5" t="s">
        <v>2</v>
      </c>
      <c r="B5" s="1">
        <v>75354000</v>
      </c>
      <c r="C5" s="1">
        <v>113853000</v>
      </c>
      <c r="D5" s="1" t="s">
        <v>91</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91</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AB6" s="18" t="s">
        <v>111</v>
      </c>
      <c r="AC6" s="19" t="s">
        <v>112</v>
      </c>
      <c r="AD6" s="19" t="s">
        <v>113</v>
      </c>
      <c r="AE6" s="19" t="s">
        <v>114</v>
      </c>
    </row>
    <row r="7" spans="1:31" ht="19" x14ac:dyDescent="0.25">
      <c r="A7" s="5" t="s">
        <v>4</v>
      </c>
      <c r="B7" s="2">
        <v>0.1565</v>
      </c>
      <c r="C7" s="2">
        <v>0.1699</v>
      </c>
      <c r="D7" s="2" t="s">
        <v>91</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AB7" s="17">
        <f>V7</f>
        <v>0.154</v>
      </c>
      <c r="AC7" s="20">
        <f>V21</f>
        <v>7.2499999999999995E-2</v>
      </c>
      <c r="AD7" s="20">
        <f>V30</f>
        <v>5.4899999999999997E-2</v>
      </c>
      <c r="AE7" s="20">
        <f>V107/V3</f>
        <v>-9.3528433542163072E-2</v>
      </c>
    </row>
    <row r="8" spans="1:31" ht="19" x14ac:dyDescent="0.25">
      <c r="A8" s="5" t="s">
        <v>5</v>
      </c>
      <c r="B8" s="1">
        <v>3635000</v>
      </c>
      <c r="C8" s="1">
        <v>6858000</v>
      </c>
      <c r="D8" s="1" t="s">
        <v>91</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94</v>
      </c>
      <c r="B9" s="15">
        <f>B8/B3</f>
        <v>4.068771757015413E-2</v>
      </c>
      <c r="C9" s="15">
        <f t="shared" ref="C9:V9" si="1">C8/C3</f>
        <v>4.9999635464891626E-2</v>
      </c>
      <c r="D9" s="15" t="e">
        <f t="shared" si="1"/>
        <v>#VALUE!</v>
      </c>
      <c r="E9" s="15">
        <f t="shared" si="1"/>
        <v>5.00984591264763E-2</v>
      </c>
      <c r="F9" s="15">
        <f t="shared" si="1"/>
        <v>5.2270601339983673E-2</v>
      </c>
      <c r="G9" s="15">
        <f t="shared" si="1"/>
        <v>5.0360020266750398E-2</v>
      </c>
      <c r="H9" s="15">
        <f t="shared" si="1"/>
        <v>5.6497373742606424E-2</v>
      </c>
      <c r="I9" s="15">
        <f t="shared" si="1"/>
        <v>6.8262234256114898E-2</v>
      </c>
      <c r="J9" s="15">
        <f t="shared" si="1"/>
        <v>5.1815956464727392E-2</v>
      </c>
      <c r="K9" s="15">
        <f t="shared" si="1"/>
        <v>5.1038530334761328E-2</v>
      </c>
      <c r="L9" s="15">
        <f t="shared" si="1"/>
        <v>6.3344163081408542E-2</v>
      </c>
      <c r="M9" s="15">
        <f t="shared" si="1"/>
        <v>6.4691659190356465E-2</v>
      </c>
      <c r="N9" s="15">
        <f t="shared" si="1"/>
        <v>5.7426993692756688E-2</v>
      </c>
      <c r="O9" s="15">
        <f t="shared" si="1"/>
        <v>5.0351178085081272E-2</v>
      </c>
      <c r="P9" s="15">
        <f t="shared" si="1"/>
        <v>5.5964754941498204E-2</v>
      </c>
      <c r="Q9" s="15">
        <f t="shared" si="1"/>
        <v>5.7946122404302094E-2</v>
      </c>
      <c r="R9" s="15">
        <f t="shared" si="1"/>
        <v>4.9130901070438493E-2</v>
      </c>
      <c r="S9" s="15">
        <f t="shared" si="1"/>
        <v>5.1396713480899109E-2</v>
      </c>
      <c r="T9" s="15">
        <f t="shared" si="1"/>
        <v>6.6325056202218388E-2</v>
      </c>
      <c r="U9" s="15">
        <f t="shared" si="1"/>
        <v>6.3070673088545581E-2</v>
      </c>
      <c r="V9" s="15">
        <f t="shared" si="1"/>
        <v>5.2399502011027888E-2</v>
      </c>
      <c r="AB9" s="18" t="s">
        <v>95</v>
      </c>
      <c r="AC9" s="19" t="s">
        <v>96</v>
      </c>
      <c r="AD9" s="19" t="s">
        <v>97</v>
      </c>
      <c r="AE9" s="19" t="s">
        <v>98</v>
      </c>
    </row>
    <row r="10" spans="1:31" ht="19" x14ac:dyDescent="0.25">
      <c r="A10" s="5" t="s">
        <v>6</v>
      </c>
      <c r="B10" s="1" t="s">
        <v>91</v>
      </c>
      <c r="C10" s="1" t="s">
        <v>91</v>
      </c>
      <c r="D10" s="1" t="s">
        <v>91</v>
      </c>
      <c r="E10" s="1" t="s">
        <v>91</v>
      </c>
      <c r="F10" s="1" t="s">
        <v>91</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91</v>
      </c>
      <c r="C11" s="1" t="s">
        <v>91</v>
      </c>
      <c r="D11" s="1" t="s">
        <v>91</v>
      </c>
      <c r="E11" s="1" t="s">
        <v>91</v>
      </c>
      <c r="F11" s="1" t="s">
        <v>91</v>
      </c>
      <c r="G11" s="1" t="s">
        <v>91</v>
      </c>
      <c r="H11" s="1" t="s">
        <v>91</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91</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115</v>
      </c>
      <c r="AC12" s="19" t="s">
        <v>116</v>
      </c>
      <c r="AD12" s="19" t="s">
        <v>117</v>
      </c>
      <c r="AE12" s="19" t="s">
        <v>118</v>
      </c>
    </row>
    <row r="13" spans="1:31" ht="19" x14ac:dyDescent="0.25">
      <c r="A13" s="14" t="s">
        <v>99</v>
      </c>
      <c r="B13" s="15">
        <f>B12/B3</f>
        <v>8.1946294451471363E-2</v>
      </c>
      <c r="C13" s="15">
        <f t="shared" ref="C13:V13" si="2">C12/C3</f>
        <v>6.7234855388922501E-2</v>
      </c>
      <c r="D13" s="15" t="e">
        <f t="shared" si="2"/>
        <v>#VALUE!</v>
      </c>
      <c r="E13" s="15">
        <f t="shared" si="2"/>
        <v>5.9391867323375661E-2</v>
      </c>
      <c r="F13" s="15">
        <f t="shared" si="2"/>
        <v>5.3857163161356643E-2</v>
      </c>
      <c r="G13" s="15">
        <f t="shared" si="2"/>
        <v>5.721551024874344E-2</v>
      </c>
      <c r="H13" s="15">
        <f t="shared" si="2"/>
        <v>6.058245745167002E-2</v>
      </c>
      <c r="I13" s="15">
        <f t="shared" si="2"/>
        <v>6.1199464408268046E-2</v>
      </c>
      <c r="J13" s="15">
        <f t="shared" si="2"/>
        <v>5.1099332167143956E-2</v>
      </c>
      <c r="K13" s="15">
        <f t="shared" si="2"/>
        <v>4.7001746267168271E-2</v>
      </c>
      <c r="L13" s="15">
        <f t="shared" si="2"/>
        <v>5.4424908815099315E-2</v>
      </c>
      <c r="M13" s="15">
        <f t="shared" si="2"/>
        <v>4.9620622057681273E-2</v>
      </c>
      <c r="N13" s="15">
        <f t="shared" si="2"/>
        <v>4.15954994608786E-2</v>
      </c>
      <c r="O13" s="15">
        <f t="shared" si="2"/>
        <v>3.6776644711235436E-2</v>
      </c>
      <c r="P13" s="15">
        <f t="shared" si="2"/>
        <v>4.5442420538614615E-2</v>
      </c>
      <c r="Q13" s="15">
        <f t="shared" si="2"/>
        <v>4.4705905078173257E-2</v>
      </c>
      <c r="R13" s="15">
        <f t="shared" si="2"/>
        <v>5.0640203874908793E-2</v>
      </c>
      <c r="S13" s="15">
        <f t="shared" si="2"/>
        <v>6.2388440046166678E-2</v>
      </c>
      <c r="T13" s="15">
        <f t="shared" si="2"/>
        <v>6.5606338610018147E-2</v>
      </c>
      <c r="U13" s="15">
        <f t="shared" si="2"/>
        <v>5.2347458356079207E-2</v>
      </c>
      <c r="V13" s="15">
        <f t="shared" si="2"/>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91</v>
      </c>
      <c r="C14" s="1">
        <v>1178000</v>
      </c>
      <c r="D14" s="1" t="s">
        <v>91</v>
      </c>
      <c r="E14" s="1">
        <v>-1178000</v>
      </c>
      <c r="F14" s="1">
        <v>575000</v>
      </c>
      <c r="G14" s="1">
        <v>-120000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10956000</v>
      </c>
      <c r="C15" s="1">
        <v>17258000</v>
      </c>
      <c r="D15" s="1" t="s">
        <v>91</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119</v>
      </c>
      <c r="AC15" s="19" t="s">
        <v>120</v>
      </c>
      <c r="AD15" s="19" t="s">
        <v>121</v>
      </c>
      <c r="AE15" s="19" t="s">
        <v>122</v>
      </c>
    </row>
    <row r="16" spans="1:31" ht="19" x14ac:dyDescent="0.25">
      <c r="A16" s="5" t="s">
        <v>11</v>
      </c>
      <c r="B16" s="1">
        <v>86310000</v>
      </c>
      <c r="C16" s="1">
        <v>131111000</v>
      </c>
      <c r="D16" s="1" t="s">
        <v>91</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9">
        <f>(V35+U35+T35+S35+R35)/5</f>
        <v>7.4334647250365263E-3</v>
      </c>
      <c r="AC16" s="30">
        <f>AD101/V3</f>
        <v>2.221426112166069</v>
      </c>
      <c r="AD16" s="30">
        <f>AD101/V28</f>
        <v>40.477726773810069</v>
      </c>
      <c r="AE16" s="31">
        <f>AD101/V107</f>
        <v>-23.751345211663782</v>
      </c>
    </row>
    <row r="17" spans="1:28" ht="19" x14ac:dyDescent="0.25">
      <c r="A17" s="5" t="s">
        <v>12</v>
      </c>
      <c r="B17" s="1" t="s">
        <v>91</v>
      </c>
      <c r="C17" s="1" t="s">
        <v>91</v>
      </c>
      <c r="D17" s="1" t="s">
        <v>91</v>
      </c>
      <c r="E17" s="1" t="s">
        <v>91</v>
      </c>
      <c r="F17" s="1" t="s">
        <v>91</v>
      </c>
      <c r="G17" s="1" t="s">
        <v>91</v>
      </c>
      <c r="H17" s="1" t="s">
        <v>91</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28" ht="20" x14ac:dyDescent="0.25">
      <c r="A18" s="5" t="s">
        <v>13</v>
      </c>
      <c r="B18" s="1" t="s">
        <v>91</v>
      </c>
      <c r="C18" s="1" t="s">
        <v>91</v>
      </c>
      <c r="D18" s="1" t="s">
        <v>91</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123</v>
      </c>
    </row>
    <row r="19" spans="1:28"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AB19" s="32">
        <f>V40-V56-V61</f>
        <v>-353167000</v>
      </c>
    </row>
    <row r="20" spans="1:28" ht="19" customHeight="1" x14ac:dyDescent="0.25">
      <c r="A20" s="14" t="s">
        <v>100</v>
      </c>
      <c r="B20" s="1"/>
      <c r="C20" s="15">
        <f>(C19/B19)-1</f>
        <v>-6.3697857948139758E-2</v>
      </c>
      <c r="D20" s="15">
        <f>(D19/C19)-1</f>
        <v>1.922335942203492</v>
      </c>
      <c r="E20" s="15">
        <f>(E19/D19)-1</f>
        <v>1.4002884219200658</v>
      </c>
      <c r="F20" s="15">
        <f t="shared" ref="F20:V20" si="3">(F19/E19)-1</f>
        <v>1.3891511458243926</v>
      </c>
      <c r="G20" s="15">
        <f t="shared" si="3"/>
        <v>0.11287541313407101</v>
      </c>
      <c r="H20" s="15">
        <f t="shared" si="3"/>
        <v>0.40318936019110341</v>
      </c>
      <c r="I20" s="15">
        <f t="shared" si="3"/>
        <v>-0.37006533541915887</v>
      </c>
      <c r="J20" s="15">
        <f t="shared" si="3"/>
        <v>0.66047038200277552</v>
      </c>
      <c r="K20" s="15">
        <f t="shared" si="3"/>
        <v>0.41227703609211086</v>
      </c>
      <c r="L20" s="15">
        <f t="shared" si="3"/>
        <v>-0.17244440291534291</v>
      </c>
      <c r="M20" s="15">
        <f t="shared" si="3"/>
        <v>-0.34057848284687331</v>
      </c>
      <c r="N20" s="15">
        <f t="shared" si="3"/>
        <v>1.4746725264689933</v>
      </c>
      <c r="O20" s="15">
        <f t="shared" si="3"/>
        <v>0.78739549097618644</v>
      </c>
      <c r="P20" s="15">
        <f t="shared" si="3"/>
        <v>-0.22382156728647562</v>
      </c>
      <c r="Q20" s="15">
        <f t="shared" si="3"/>
        <v>-8.6099266019966203E-2</v>
      </c>
      <c r="R20" s="15">
        <f t="shared" si="3"/>
        <v>2.0328345991177388E-2</v>
      </c>
      <c r="S20" s="15">
        <f t="shared" si="3"/>
        <v>4.9153146728472041E-2</v>
      </c>
      <c r="T20" s="15">
        <f t="shared" si="3"/>
        <v>2.073172804051282E-3</v>
      </c>
      <c r="U20" s="15">
        <f t="shared" si="3"/>
        <v>0.26736929573165558</v>
      </c>
      <c r="V20" s="15">
        <f t="shared" si="3"/>
        <v>1.5217132420335719</v>
      </c>
    </row>
    <row r="21" spans="1:28" ht="19"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row>
    <row r="22" spans="1:28"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row>
    <row r="23" spans="1:28"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28" ht="19" x14ac:dyDescent="0.25">
      <c r="A24" s="5" t="s">
        <v>18</v>
      </c>
      <c r="B24" s="1">
        <v>-399000</v>
      </c>
      <c r="C24" s="1">
        <v>-677000</v>
      </c>
      <c r="D24" s="1" t="s">
        <v>91</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28" ht="19" x14ac:dyDescent="0.25">
      <c r="A25" s="6" t="s">
        <v>19</v>
      </c>
      <c r="B25" s="10">
        <v>2630000</v>
      </c>
      <c r="C25" s="10">
        <v>5373000</v>
      </c>
      <c r="D25" s="10" t="s">
        <v>91</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28" ht="19" x14ac:dyDescent="0.25">
      <c r="A26" s="5" t="s">
        <v>20</v>
      </c>
      <c r="B26" s="2">
        <v>2.9399999999999999E-2</v>
      </c>
      <c r="C26" s="2">
        <v>3.9199999999999999E-2</v>
      </c>
      <c r="D26" s="2" t="s">
        <v>91</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28" ht="19" x14ac:dyDescent="0.25">
      <c r="A27" s="5" t="s">
        <v>21</v>
      </c>
      <c r="B27" s="1">
        <v>-428000</v>
      </c>
      <c r="C27" s="1">
        <v>-1856000</v>
      </c>
      <c r="D27" s="1" t="s">
        <v>91</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28"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row>
    <row r="29" spans="1:28" ht="20" customHeight="1" thickTop="1" x14ac:dyDescent="0.25">
      <c r="A29" s="14" t="s">
        <v>101</v>
      </c>
      <c r="B29" s="1"/>
      <c r="C29" s="15">
        <f>(C28/B28)-1</f>
        <v>0.59718437783832878</v>
      </c>
      <c r="D29" s="15">
        <f>(D28/C28)-1</f>
        <v>0.38015353994882006</v>
      </c>
      <c r="E29" s="15">
        <f>(E28/D28)-1</f>
        <v>0.46065100947672022</v>
      </c>
      <c r="F29" s="15">
        <f t="shared" ref="F29:V29" si="4">(F28/E28)-1</f>
        <v>1.3902679830747533</v>
      </c>
      <c r="G29" s="15">
        <f t="shared" si="4"/>
        <v>0.14114592553254268</v>
      </c>
      <c r="H29" s="15">
        <f t="shared" si="4"/>
        <v>0.31439060964889598</v>
      </c>
      <c r="I29" s="15">
        <f t="shared" si="4"/>
        <v>-0.36634013926590347</v>
      </c>
      <c r="J29" s="15">
        <f t="shared" si="4"/>
        <v>0.6710126032159931</v>
      </c>
      <c r="K29" s="15">
        <f t="shared" si="4"/>
        <v>0.49407393646665421</v>
      </c>
      <c r="L29" s="15">
        <f t="shared" si="4"/>
        <v>-0.25762813020664954</v>
      </c>
      <c r="M29" s="15">
        <f t="shared" si="4"/>
        <v>-0.28720731584765347</v>
      </c>
      <c r="N29" s="15">
        <f t="shared" si="4"/>
        <v>1.5450914046712723</v>
      </c>
      <c r="O29" s="15">
        <f t="shared" si="4"/>
        <v>0.8808833576453643</v>
      </c>
      <c r="P29" s="15">
        <f t="shared" si="4"/>
        <v>-0.29296211578296338</v>
      </c>
      <c r="Q29" s="15">
        <f t="shared" si="4"/>
        <v>-7.1742963857763686E-2</v>
      </c>
      <c r="R29" s="15">
        <f t="shared" si="4"/>
        <v>-0.30946540221976249</v>
      </c>
      <c r="S29" s="15">
        <f t="shared" si="4"/>
        <v>0.55784685367702802</v>
      </c>
      <c r="T29" s="15">
        <f t="shared" si="4"/>
        <v>0.17227954058789186</v>
      </c>
      <c r="U29" s="15">
        <f t="shared" si="4"/>
        <v>0.32686103335389283</v>
      </c>
      <c r="V29" s="15">
        <f t="shared" si="4"/>
        <v>1.549170875608993</v>
      </c>
    </row>
    <row r="30" spans="1:28"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row>
    <row r="31" spans="1:28"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row>
    <row r="32" spans="1:28"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102</v>
      </c>
      <c r="B35" s="1"/>
      <c r="C35" s="22">
        <f>(C34-B34)/B34</f>
        <v>3.0606521913308229E-2</v>
      </c>
      <c r="D35" s="22">
        <f t="shared" ref="D35:V35" si="5">(D34-C34)/C34</f>
        <v>9.0789706911295967E-2</v>
      </c>
      <c r="E35" s="22">
        <f t="shared" si="5"/>
        <v>4.9204651357710322E-2</v>
      </c>
      <c r="F35" s="22">
        <f t="shared" si="5"/>
        <v>8.1665977185299304E-2</v>
      </c>
      <c r="G35" s="22">
        <f t="shared" si="5"/>
        <v>6.5915752332788555E-2</v>
      </c>
      <c r="H35" s="22">
        <f t="shared" si="5"/>
        <v>0.14426048208107953</v>
      </c>
      <c r="I35" s="22">
        <f t="shared" si="5"/>
        <v>8.0471329424330173E-3</v>
      </c>
      <c r="J35" s="22">
        <f t="shared" si="5"/>
        <v>4.0341710422079506E-2</v>
      </c>
      <c r="K35" s="22">
        <f t="shared" si="5"/>
        <v>4.076642451163285E-2</v>
      </c>
      <c r="L35" s="22">
        <f t="shared" si="5"/>
        <v>4.1419738715731708E-2</v>
      </c>
      <c r="M35" s="22">
        <f t="shared" si="5"/>
        <v>-5.5490125022649031E-3</v>
      </c>
      <c r="N35" s="22">
        <f t="shared" si="5"/>
        <v>5.9329947388799049E-2</v>
      </c>
      <c r="O35" s="22">
        <f t="shared" si="5"/>
        <v>7.7012383900928794E-2</v>
      </c>
      <c r="P35" s="22">
        <f t="shared" si="5"/>
        <v>3.4774623707430029E-2</v>
      </c>
      <c r="Q35" s="22">
        <f t="shared" si="5"/>
        <v>-3.0287830851145922E-3</v>
      </c>
      <c r="R35" s="22">
        <f t="shared" si="5"/>
        <v>9.1333036629965749E-3</v>
      </c>
      <c r="S35" s="22">
        <f t="shared" si="5"/>
        <v>-8.3411631608214607E-3</v>
      </c>
      <c r="T35" s="22">
        <f t="shared" si="5"/>
        <v>2.1695413411710111E-2</v>
      </c>
      <c r="U35" s="22">
        <f t="shared" si="5"/>
        <v>1.2661342215829516E-2</v>
      </c>
      <c r="V35" s="22">
        <f t="shared" si="5"/>
        <v>2.0184274954678826E-3</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91</v>
      </c>
      <c r="C39" s="1" t="s">
        <v>91</v>
      </c>
      <c r="D39" s="1" t="s">
        <v>91</v>
      </c>
      <c r="E39" s="1">
        <v>1767000</v>
      </c>
      <c r="F39" s="1">
        <v>53000</v>
      </c>
      <c r="G39" s="1">
        <v>15055000</v>
      </c>
      <c r="H39" s="1">
        <v>57000</v>
      </c>
      <c r="I39" s="1">
        <v>347000</v>
      </c>
      <c r="J39" s="1">
        <v>845000</v>
      </c>
      <c r="K39" s="1">
        <v>59000</v>
      </c>
      <c r="L39" s="1" t="s">
        <v>91</v>
      </c>
      <c r="M39" s="1" t="s">
        <v>91</v>
      </c>
      <c r="N39" s="1" t="s">
        <v>91</v>
      </c>
      <c r="O39" s="1" t="s">
        <v>91</v>
      </c>
      <c r="P39" s="1" t="s">
        <v>91</v>
      </c>
      <c r="Q39" s="1" t="s">
        <v>91</v>
      </c>
      <c r="R39" s="1" t="s">
        <v>91</v>
      </c>
      <c r="S39" s="1" t="s">
        <v>91</v>
      </c>
      <c r="T39" s="1" t="s">
        <v>91</v>
      </c>
      <c r="U39" s="1" t="s">
        <v>91</v>
      </c>
      <c r="V39" s="1" t="s">
        <v>91</v>
      </c>
    </row>
    <row r="40" spans="1:22" ht="19" x14ac:dyDescent="0.25">
      <c r="A40" s="5" t="s">
        <v>32</v>
      </c>
      <c r="B40" s="1" t="s">
        <v>91</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91</v>
      </c>
      <c r="C41" s="1" t="s">
        <v>91</v>
      </c>
      <c r="D41" s="1" t="s">
        <v>91</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91</v>
      </c>
      <c r="C42" s="1" t="s">
        <v>91</v>
      </c>
      <c r="D42" s="1" t="s">
        <v>91</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91</v>
      </c>
      <c r="C43" s="1" t="s">
        <v>91</v>
      </c>
      <c r="D43" s="1" t="s">
        <v>91</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91</v>
      </c>
      <c r="C44" s="10" t="s">
        <v>91</v>
      </c>
      <c r="D44" s="10" t="s">
        <v>91</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91</v>
      </c>
      <c r="C45" s="1" t="s">
        <v>91</v>
      </c>
      <c r="D45" s="1" t="s">
        <v>91</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row>
    <row r="47" spans="1:2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row>
    <row r="48" spans="1:2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row>
    <row r="49" spans="1:22" ht="19" x14ac:dyDescent="0.25">
      <c r="A49" s="5" t="s">
        <v>41</v>
      </c>
      <c r="B49" s="1" t="s">
        <v>91</v>
      </c>
      <c r="C49" s="1" t="s">
        <v>91</v>
      </c>
      <c r="D49" s="1" t="s">
        <v>91</v>
      </c>
      <c r="E49" s="1" t="s">
        <v>91</v>
      </c>
      <c r="F49" s="1" t="s">
        <v>91</v>
      </c>
      <c r="G49" s="1" t="s">
        <v>91</v>
      </c>
      <c r="H49" s="1" t="s">
        <v>91</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91</v>
      </c>
      <c r="C50" s="1" t="s">
        <v>91</v>
      </c>
      <c r="D50" s="1" t="s">
        <v>91</v>
      </c>
      <c r="E50" s="1" t="s">
        <v>91</v>
      </c>
      <c r="F50" s="1" t="s">
        <v>91</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91</v>
      </c>
      <c r="C51" s="1" t="s">
        <v>91</v>
      </c>
      <c r="D51" s="1" t="s">
        <v>91</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91</v>
      </c>
      <c r="C52" s="1" t="s">
        <v>91</v>
      </c>
      <c r="D52" s="1" t="s">
        <v>91</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91</v>
      </c>
      <c r="C53" s="1">
        <v>40136000</v>
      </c>
      <c r="D53" s="1">
        <v>50796000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91</v>
      </c>
      <c r="C55" s="1" t="s">
        <v>91</v>
      </c>
      <c r="D55" s="1" t="s">
        <v>91</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91</v>
      </c>
      <c r="C56" s="1" t="s">
        <v>91</v>
      </c>
      <c r="D56" s="1" t="s">
        <v>91</v>
      </c>
      <c r="E56" s="1" t="s">
        <v>91</v>
      </c>
      <c r="F56" s="1" t="s">
        <v>91</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v>12741000</v>
      </c>
      <c r="V57" s="1">
        <v>41743000</v>
      </c>
    </row>
    <row r="58" spans="1:22" ht="19" x14ac:dyDescent="0.25">
      <c r="A58" s="5" t="s">
        <v>50</v>
      </c>
      <c r="B58" s="1" t="s">
        <v>91</v>
      </c>
      <c r="C58" s="1" t="s">
        <v>91</v>
      </c>
      <c r="D58" s="1" t="s">
        <v>91</v>
      </c>
      <c r="E58" s="1" t="s">
        <v>91</v>
      </c>
      <c r="F58" s="1" t="s">
        <v>91</v>
      </c>
      <c r="G58" s="1" t="s">
        <v>91</v>
      </c>
      <c r="H58" s="1" t="s">
        <v>91</v>
      </c>
      <c r="I58" s="1">
        <v>1220000</v>
      </c>
      <c r="J58" s="1" t="s">
        <v>91</v>
      </c>
      <c r="K58" s="1">
        <v>1000000</v>
      </c>
      <c r="L58" s="1" t="s">
        <v>91</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91</v>
      </c>
      <c r="C59" s="1" t="s">
        <v>91</v>
      </c>
      <c r="D59" s="1" t="s">
        <v>91</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91</v>
      </c>
      <c r="C60" s="10" t="s">
        <v>91</v>
      </c>
      <c r="D60" s="10" t="s">
        <v>91</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91</v>
      </c>
      <c r="C61" s="1">
        <v>9506000</v>
      </c>
      <c r="D61" s="1">
        <v>9108000</v>
      </c>
      <c r="E61" s="1">
        <v>12515000</v>
      </c>
      <c r="F61" s="1">
        <v>18621000</v>
      </c>
      <c r="G61" s="1">
        <v>11251000</v>
      </c>
      <c r="H61" s="1">
        <v>9981000</v>
      </c>
      <c r="I61" s="1">
        <v>9675000</v>
      </c>
      <c r="J61" s="1" t="s">
        <v>91</v>
      </c>
      <c r="K61" s="1">
        <v>27596000</v>
      </c>
      <c r="L61" s="1">
        <v>19395000</v>
      </c>
      <c r="M61" s="1">
        <v>6533000</v>
      </c>
      <c r="N61" s="1">
        <v>3733000</v>
      </c>
      <c r="O61" s="1">
        <v>933000</v>
      </c>
      <c r="P61" s="1">
        <v>40000000</v>
      </c>
      <c r="Q61" s="1">
        <v>92927000</v>
      </c>
      <c r="R61" s="1" t="s">
        <v>91</v>
      </c>
      <c r="S61" s="1" t="s">
        <v>91</v>
      </c>
      <c r="T61" s="1">
        <v>5697000</v>
      </c>
      <c r="U61" s="1">
        <v>49239000</v>
      </c>
      <c r="V61" s="1">
        <v>164279000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21940000</v>
      </c>
      <c r="Q62" s="1">
        <v>47548000</v>
      </c>
      <c r="R62" s="1">
        <v>89731000</v>
      </c>
      <c r="S62" s="1">
        <v>109266000</v>
      </c>
      <c r="T62" s="1">
        <v>97612000</v>
      </c>
      <c r="U62" s="1">
        <v>100838000</v>
      </c>
      <c r="V62" s="1">
        <v>122548000</v>
      </c>
    </row>
    <row r="63" spans="1:22" ht="19" x14ac:dyDescent="0.25">
      <c r="A63" s="5" t="s">
        <v>54</v>
      </c>
      <c r="B63" s="1" t="s">
        <v>91</v>
      </c>
      <c r="C63" s="1" t="s">
        <v>91</v>
      </c>
      <c r="D63" s="1" t="s">
        <v>91</v>
      </c>
      <c r="E63" s="1">
        <v>456000</v>
      </c>
      <c r="F63" s="1">
        <v>398000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row>
    <row r="64" spans="1:22" ht="19" x14ac:dyDescent="0.25">
      <c r="A64" s="5" t="s">
        <v>55</v>
      </c>
      <c r="B64" s="1" t="s">
        <v>91</v>
      </c>
      <c r="C64" s="1" t="s">
        <v>91</v>
      </c>
      <c r="D64" s="1" t="s">
        <v>91</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91</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91</v>
      </c>
      <c r="C66" s="1">
        <v>17776000</v>
      </c>
      <c r="D66" s="1">
        <v>25270000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91</v>
      </c>
      <c r="C68" s="1" t="s">
        <v>91</v>
      </c>
      <c r="D68" s="1" t="s">
        <v>91</v>
      </c>
      <c r="E68" s="1" t="s">
        <v>91</v>
      </c>
      <c r="F68" s="1" t="s">
        <v>91</v>
      </c>
      <c r="G68" s="1" t="s">
        <v>91</v>
      </c>
      <c r="H68" s="1" t="s">
        <v>91</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91</v>
      </c>
      <c r="C69" s="1" t="s">
        <v>91</v>
      </c>
      <c r="D69" s="1" t="s">
        <v>91</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91</v>
      </c>
      <c r="C70" s="1" t="s">
        <v>91</v>
      </c>
      <c r="D70" s="1" t="s">
        <v>91</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91</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91</v>
      </c>
      <c r="V71" s="1" t="s">
        <v>91</v>
      </c>
    </row>
    <row r="72" spans="1:22" ht="19" x14ac:dyDescent="0.25">
      <c r="A72" s="6" t="s">
        <v>63</v>
      </c>
      <c r="B72" s="10" t="s">
        <v>91</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91</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t="s">
        <v>91</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91</v>
      </c>
      <c r="C77" s="1" t="s">
        <v>91</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v>28185000</v>
      </c>
      <c r="V77" s="1">
        <v>32471000</v>
      </c>
    </row>
    <row r="78" spans="1:22" ht="19" x14ac:dyDescent="0.25">
      <c r="A78" s="5" t="s">
        <v>67</v>
      </c>
      <c r="B78" s="1" t="s">
        <v>91</v>
      </c>
      <c r="C78" s="1" t="s">
        <v>91</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91</v>
      </c>
      <c r="C79" s="1" t="s">
        <v>91</v>
      </c>
      <c r="D79" s="1" t="s">
        <v>91</v>
      </c>
      <c r="E79" s="1" t="s">
        <v>91</v>
      </c>
      <c r="F79" s="1" t="s">
        <v>91</v>
      </c>
      <c r="G79" s="1" t="s">
        <v>91</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91</v>
      </c>
      <c r="V79" s="1">
        <v>32816000</v>
      </c>
    </row>
    <row r="80" spans="1:22" ht="19" x14ac:dyDescent="0.25">
      <c r="A80" s="14" t="s">
        <v>103</v>
      </c>
      <c r="B80" s="15" t="e">
        <f t="shared" ref="B80:V80" si="6">B79/B3</f>
        <v>#VALUE!</v>
      </c>
      <c r="C80" s="15" t="e">
        <f t="shared" si="6"/>
        <v>#VALUE!</v>
      </c>
      <c r="D80" s="15" t="e">
        <f t="shared" si="6"/>
        <v>#VALUE!</v>
      </c>
      <c r="E80" s="15" t="e">
        <f t="shared" si="6"/>
        <v>#VALUE!</v>
      </c>
      <c r="F80" s="15" t="e">
        <f t="shared" si="6"/>
        <v>#VALUE!</v>
      </c>
      <c r="G80" s="15" t="e">
        <f t="shared" si="6"/>
        <v>#VALUE!</v>
      </c>
      <c r="H80" s="15">
        <f t="shared" si="6"/>
        <v>1.0473577389949732E-2</v>
      </c>
      <c r="I80" s="15">
        <f t="shared" si="6"/>
        <v>1.2770737862656718E-2</v>
      </c>
      <c r="J80" s="15">
        <f t="shared" si="6"/>
        <v>1.1166586733717936E-2</v>
      </c>
      <c r="K80" s="15">
        <f t="shared" si="6"/>
        <v>1.087650729591696E-2</v>
      </c>
      <c r="L80" s="15">
        <f t="shared" si="6"/>
        <v>1.1205534415519088E-2</v>
      </c>
      <c r="M80" s="15">
        <f t="shared" si="6"/>
        <v>9.5151996325354114E-3</v>
      </c>
      <c r="N80" s="15">
        <f t="shared" si="6"/>
        <v>9.3368193336704833E-3</v>
      </c>
      <c r="O80" s="15">
        <f t="shared" si="6"/>
        <v>8.1013281236267387E-3</v>
      </c>
      <c r="P80" s="15">
        <f t="shared" si="6"/>
        <v>8.8758077481536374E-3</v>
      </c>
      <c r="Q80" s="15">
        <f t="shared" si="6"/>
        <v>9.9222150813966913E-3</v>
      </c>
      <c r="R80" s="15">
        <f t="shared" si="6"/>
        <v>6.3038388426456598E-3</v>
      </c>
      <c r="S80" s="15">
        <f t="shared" si="6"/>
        <v>5.7676924659177909E-3</v>
      </c>
      <c r="T80" s="15">
        <f t="shared" si="6"/>
        <v>8.5494452248852364E-3</v>
      </c>
      <c r="U80" s="15" t="e">
        <f t="shared" si="6"/>
        <v>#VALUE!</v>
      </c>
      <c r="V80" s="15">
        <f t="shared" si="6"/>
        <v>6.3155070755965192E-3</v>
      </c>
    </row>
    <row r="81" spans="1:30" ht="19" x14ac:dyDescent="0.25">
      <c r="A81" s="5" t="s">
        <v>69</v>
      </c>
      <c r="B81" s="1" t="s">
        <v>91</v>
      </c>
      <c r="C81" s="1" t="s">
        <v>91</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v>-44504000</v>
      </c>
      <c r="V81" s="1">
        <v>-784099000</v>
      </c>
    </row>
    <row r="82" spans="1:30" ht="19" x14ac:dyDescent="0.25">
      <c r="A82" s="5" t="s">
        <v>70</v>
      </c>
      <c r="B82" s="1" t="s">
        <v>91</v>
      </c>
      <c r="C82" s="1" t="s">
        <v>91</v>
      </c>
      <c r="D82" s="1" t="s">
        <v>91</v>
      </c>
      <c r="E82" s="1" t="s">
        <v>91</v>
      </c>
      <c r="F82" s="1" t="s">
        <v>91</v>
      </c>
      <c r="G82" s="1" t="s">
        <v>91</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21" x14ac:dyDescent="0.25">
      <c r="A83" s="5" t="s">
        <v>34</v>
      </c>
      <c r="B83" s="1" t="s">
        <v>91</v>
      </c>
      <c r="C83" s="1" t="s">
        <v>91</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c r="AC83" s="60" t="s">
        <v>124</v>
      </c>
      <c r="AD83" s="61"/>
    </row>
    <row r="84" spans="1:30" ht="19" x14ac:dyDescent="0.25">
      <c r="A84" s="5" t="s">
        <v>47</v>
      </c>
      <c r="B84" s="1" t="s">
        <v>91</v>
      </c>
      <c r="C84" s="1" t="s">
        <v>91</v>
      </c>
      <c r="D84" s="1" t="s">
        <v>91</v>
      </c>
      <c r="E84" s="1" t="s">
        <v>91</v>
      </c>
      <c r="F84" s="1" t="s">
        <v>91</v>
      </c>
      <c r="G84" s="1" t="s">
        <v>91</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AC84" s="62" t="s">
        <v>125</v>
      </c>
      <c r="AD84" s="63"/>
    </row>
    <row r="85" spans="1:30" ht="20" x14ac:dyDescent="0.25">
      <c r="A85" s="5" t="s">
        <v>71</v>
      </c>
      <c r="B85" s="1" t="s">
        <v>91</v>
      </c>
      <c r="C85" s="1" t="s">
        <v>91</v>
      </c>
      <c r="D85" s="1" t="s">
        <v>91</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91</v>
      </c>
      <c r="V85" s="1">
        <v>31544000</v>
      </c>
      <c r="AC85" s="23" t="s">
        <v>126</v>
      </c>
      <c r="AD85" s="24">
        <f>V17</f>
        <v>6413000</v>
      </c>
    </row>
    <row r="86" spans="1:30" ht="20" x14ac:dyDescent="0.25">
      <c r="A86" s="5" t="s">
        <v>72</v>
      </c>
      <c r="B86" s="1" t="s">
        <v>91</v>
      </c>
      <c r="C86" s="1" t="s">
        <v>91</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91</v>
      </c>
      <c r="V86" s="1">
        <v>-335000</v>
      </c>
      <c r="AC86" s="23" t="s">
        <v>127</v>
      </c>
      <c r="AD86" s="24">
        <f>V56</f>
        <v>456285000</v>
      </c>
    </row>
    <row r="87" spans="1:30" ht="20" x14ac:dyDescent="0.25">
      <c r="A87" s="6" t="s">
        <v>73</v>
      </c>
      <c r="B87" s="10" t="s">
        <v>91</v>
      </c>
      <c r="C87" s="10" t="s">
        <v>91</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91</v>
      </c>
      <c r="V87" s="10">
        <v>-440801000</v>
      </c>
      <c r="AC87" s="23" t="s">
        <v>128</v>
      </c>
      <c r="AD87" s="24">
        <f>V61</f>
        <v>164279000</v>
      </c>
    </row>
    <row r="88" spans="1:30" ht="20" x14ac:dyDescent="0.25">
      <c r="A88" s="5" t="s">
        <v>74</v>
      </c>
      <c r="B88" s="1" t="s">
        <v>91</v>
      </c>
      <c r="C88" s="1" t="s">
        <v>91</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AC88" s="33" t="s">
        <v>129</v>
      </c>
      <c r="AD88" s="34">
        <f>AD85/(AD86+AD87)</f>
        <v>1.0334147646334625E-2</v>
      </c>
    </row>
    <row r="89" spans="1:30" ht="20" customHeight="1" x14ac:dyDescent="0.25">
      <c r="A89" s="14" t="s">
        <v>104</v>
      </c>
      <c r="B89" s="15" t="e">
        <f t="shared" ref="B89:V89" si="7">(-1*B88)/B3</f>
        <v>#VALUE!</v>
      </c>
      <c r="C89" s="15" t="e">
        <f t="shared" si="7"/>
        <v>#VALUE!</v>
      </c>
      <c r="D89" s="15">
        <f t="shared" si="7"/>
        <v>6.2849789004279771E-3</v>
      </c>
      <c r="E89" s="15">
        <f t="shared" si="7"/>
        <v>5.4079324527892034E-2</v>
      </c>
      <c r="F89" s="15">
        <f t="shared" si="7"/>
        <v>1.0054835542951203E-2</v>
      </c>
      <c r="G89" s="15">
        <f t="shared" si="7"/>
        <v>3.8261816918930623E-2</v>
      </c>
      <c r="H89" s="15">
        <f t="shared" si="7"/>
        <v>6.5883075579599003E-3</v>
      </c>
      <c r="I89" s="15">
        <f t="shared" si="7"/>
        <v>4.3952935964351902E-2</v>
      </c>
      <c r="J89" s="15">
        <f t="shared" si="7"/>
        <v>3.5203302293474979E-2</v>
      </c>
      <c r="K89" s="15">
        <f t="shared" si="7"/>
        <v>2.6376485016688204E-2</v>
      </c>
      <c r="L89" s="15">
        <f t="shared" si="7"/>
        <v>4.9325655850727011E-3</v>
      </c>
      <c r="M89" s="15">
        <f t="shared" si="7"/>
        <v>3.4894513062110291E-2</v>
      </c>
      <c r="N89" s="15">
        <f t="shared" si="7"/>
        <v>2.3923086255334985E-2</v>
      </c>
      <c r="O89" s="15">
        <f t="shared" si="7"/>
        <v>1.7129756347446581E-2</v>
      </c>
      <c r="P89" s="15">
        <f t="shared" si="7"/>
        <v>1.3253907679864306E-2</v>
      </c>
      <c r="Q89" s="15">
        <f t="shared" si="7"/>
        <v>9.9898226468442351E-3</v>
      </c>
      <c r="R89" s="15">
        <f t="shared" si="7"/>
        <v>7.3944529551030029E-3</v>
      </c>
      <c r="S89" s="15">
        <f t="shared" si="7"/>
        <v>1.2666697139722771E-2</v>
      </c>
      <c r="T89" s="15">
        <f t="shared" si="7"/>
        <v>1.7373799928787067E-2</v>
      </c>
      <c r="U89" s="15">
        <f t="shared" si="7"/>
        <v>-7.9874695776885621E-2</v>
      </c>
      <c r="V89" s="15">
        <f t="shared" si="7"/>
        <v>8.6953693530473532E-3</v>
      </c>
      <c r="AC89" s="23" t="s">
        <v>105</v>
      </c>
      <c r="AD89" s="24">
        <f>V27</f>
        <v>52876000</v>
      </c>
    </row>
    <row r="90" spans="1:30"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AC90" s="23" t="s">
        <v>19</v>
      </c>
      <c r="AD90" s="24">
        <f>V25</f>
        <v>336833000</v>
      </c>
    </row>
    <row r="91" spans="1:30" ht="20" x14ac:dyDescent="0.25">
      <c r="A91" s="5" t="s">
        <v>76</v>
      </c>
      <c r="B91" s="1" t="s">
        <v>91</v>
      </c>
      <c r="C91" s="1" t="s">
        <v>91</v>
      </c>
      <c r="D91" s="1">
        <v>-1767000</v>
      </c>
      <c r="E91" s="1">
        <v>-103000</v>
      </c>
      <c r="F91" s="1">
        <v>-15054000</v>
      </c>
      <c r="G91" s="1">
        <v>-22480000</v>
      </c>
      <c r="H91" s="1">
        <v>-58000</v>
      </c>
      <c r="I91" s="1">
        <v>-58000</v>
      </c>
      <c r="J91" s="1">
        <v>-750000</v>
      </c>
      <c r="K91" s="1">
        <v>-168000</v>
      </c>
      <c r="L91" s="1" t="s">
        <v>91</v>
      </c>
      <c r="M91" s="1" t="s">
        <v>91</v>
      </c>
      <c r="N91" s="1">
        <v>-661000</v>
      </c>
      <c r="O91" s="1" t="s">
        <v>91</v>
      </c>
      <c r="P91" s="1" t="s">
        <v>91</v>
      </c>
      <c r="Q91" s="1">
        <v>-2100000</v>
      </c>
      <c r="R91" s="1" t="s">
        <v>91</v>
      </c>
      <c r="S91" s="1" t="s">
        <v>91</v>
      </c>
      <c r="T91" s="1" t="s">
        <v>91</v>
      </c>
      <c r="U91" s="1" t="s">
        <v>91</v>
      </c>
      <c r="V91" s="1">
        <v>-1100000</v>
      </c>
      <c r="AC91" s="33" t="s">
        <v>130</v>
      </c>
      <c r="AD91" s="34">
        <f>AD89/AD90</f>
        <v>0.15697986836206665</v>
      </c>
    </row>
    <row r="92" spans="1:30" ht="20" x14ac:dyDescent="0.25">
      <c r="A92" s="5" t="s">
        <v>77</v>
      </c>
      <c r="B92" s="1" t="s">
        <v>91</v>
      </c>
      <c r="C92" s="1" t="s">
        <v>91</v>
      </c>
      <c r="D92" s="1">
        <v>200000</v>
      </c>
      <c r="E92" s="1">
        <v>1826000</v>
      </c>
      <c r="F92" s="1">
        <v>145000</v>
      </c>
      <c r="G92" s="1">
        <v>20628000</v>
      </c>
      <c r="H92" s="1">
        <v>942000</v>
      </c>
      <c r="I92" s="1">
        <v>10479000</v>
      </c>
      <c r="J92" s="1">
        <v>1500000</v>
      </c>
      <c r="K92" s="1">
        <v>2475000</v>
      </c>
      <c r="L92" s="1">
        <v>300000</v>
      </c>
      <c r="M92" s="1" t="s">
        <v>91</v>
      </c>
      <c r="N92" s="1" t="s">
        <v>91</v>
      </c>
      <c r="O92" s="1" t="s">
        <v>91</v>
      </c>
      <c r="P92" s="1" t="s">
        <v>91</v>
      </c>
      <c r="Q92" s="1">
        <v>1000000</v>
      </c>
      <c r="R92" s="1" t="s">
        <v>91</v>
      </c>
      <c r="S92" s="1" t="s">
        <v>91</v>
      </c>
      <c r="T92" s="1" t="s">
        <v>91</v>
      </c>
      <c r="U92" s="1" t="s">
        <v>91</v>
      </c>
      <c r="V92" s="1" t="s">
        <v>91</v>
      </c>
      <c r="AC92" s="35" t="s">
        <v>131</v>
      </c>
      <c r="AD92" s="36">
        <f>AD88*(1-AD91)</f>
        <v>8.7118945091788549E-3</v>
      </c>
    </row>
    <row r="93" spans="1:30" ht="19" x14ac:dyDescent="0.25">
      <c r="A93" s="5" t="s">
        <v>78</v>
      </c>
      <c r="B93" s="1" t="s">
        <v>91</v>
      </c>
      <c r="C93" s="1" t="s">
        <v>91</v>
      </c>
      <c r="D93" s="1">
        <v>1753000</v>
      </c>
      <c r="E93" s="1">
        <v>-63000</v>
      </c>
      <c r="F93" s="1">
        <v>-157000</v>
      </c>
      <c r="G93" s="1">
        <v>-1671000</v>
      </c>
      <c r="H93" s="1">
        <v>-38000</v>
      </c>
      <c r="I93" s="1" t="s">
        <v>91</v>
      </c>
      <c r="J93" s="1">
        <v>-123000</v>
      </c>
      <c r="K93" s="1">
        <v>2836000</v>
      </c>
      <c r="L93" s="1">
        <v>-412000</v>
      </c>
      <c r="M93" s="1">
        <v>406000</v>
      </c>
      <c r="N93" s="1">
        <v>-416000</v>
      </c>
      <c r="O93" s="1">
        <v>-1020000</v>
      </c>
      <c r="P93" s="1">
        <v>-340000</v>
      </c>
      <c r="Q93" s="1" t="s">
        <v>91</v>
      </c>
      <c r="R93" s="1" t="s">
        <v>91</v>
      </c>
      <c r="S93" s="1">
        <v>750000</v>
      </c>
      <c r="T93" s="1" t="s">
        <v>91</v>
      </c>
      <c r="U93" s="1" t="s">
        <v>91</v>
      </c>
      <c r="V93" s="1" t="s">
        <v>91</v>
      </c>
      <c r="AC93" s="62" t="s">
        <v>132</v>
      </c>
      <c r="AD93" s="63"/>
    </row>
    <row r="94" spans="1:30" ht="20" x14ac:dyDescent="0.25">
      <c r="A94" s="6" t="s">
        <v>79</v>
      </c>
      <c r="B94" s="10" t="s">
        <v>91</v>
      </c>
      <c r="C94" s="10" t="s">
        <v>91</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AC94" s="23" t="s">
        <v>133</v>
      </c>
      <c r="AD94" s="37">
        <v>4.095E-2</v>
      </c>
    </row>
    <row r="95" spans="1:30" ht="20" x14ac:dyDescent="0.25">
      <c r="A95" s="5" t="s">
        <v>80</v>
      </c>
      <c r="B95" s="1" t="s">
        <v>91</v>
      </c>
      <c r="C95" s="1" t="s">
        <v>91</v>
      </c>
      <c r="D95" s="1" t="s">
        <v>91</v>
      </c>
      <c r="E95" s="1" t="s">
        <v>91</v>
      </c>
      <c r="F95" s="1" t="s">
        <v>91</v>
      </c>
      <c r="G95" s="1" t="s">
        <v>91</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91</v>
      </c>
      <c r="V95" s="1">
        <v>-640695000</v>
      </c>
      <c r="AC95" s="23" t="s">
        <v>134</v>
      </c>
      <c r="AD95" s="38" cm="1">
        <f t="array" ref="AD95">_FV(A1,"Beta")</f>
        <v>1.1637999999999999</v>
      </c>
    </row>
    <row r="96" spans="1:30" ht="20" x14ac:dyDescent="0.25">
      <c r="A96" s="5" t="s">
        <v>81</v>
      </c>
      <c r="B96" s="1" t="s">
        <v>91</v>
      </c>
      <c r="C96" s="1" t="s">
        <v>91</v>
      </c>
      <c r="D96" s="1">
        <v>44000</v>
      </c>
      <c r="E96" s="1">
        <v>377000</v>
      </c>
      <c r="F96" s="1">
        <v>45184000</v>
      </c>
      <c r="G96" s="1">
        <v>2932000</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AC96" s="23" t="s">
        <v>135</v>
      </c>
      <c r="AD96" s="37">
        <v>8.4000000000000005E-2</v>
      </c>
    </row>
    <row r="97" spans="1:30" ht="20" x14ac:dyDescent="0.25">
      <c r="A97" s="5" t="s">
        <v>82</v>
      </c>
      <c r="B97" s="1" t="s">
        <v>91</v>
      </c>
      <c r="C97" s="1" t="s">
        <v>91</v>
      </c>
      <c r="D97" s="1" t="s">
        <v>91</v>
      </c>
      <c r="E97" s="1" t="s">
        <v>91</v>
      </c>
      <c r="F97" s="1" t="s">
        <v>91</v>
      </c>
      <c r="G97" s="1" t="s">
        <v>91</v>
      </c>
      <c r="H97" s="1">
        <v>-2030000</v>
      </c>
      <c r="I97" s="1" t="s">
        <v>91</v>
      </c>
      <c r="J97" s="1" t="s">
        <v>91</v>
      </c>
      <c r="K97" s="1" t="s">
        <v>91</v>
      </c>
      <c r="L97" s="1" t="s">
        <v>91</v>
      </c>
      <c r="M97" s="1" t="s">
        <v>91</v>
      </c>
      <c r="N97" s="1" t="s">
        <v>91</v>
      </c>
      <c r="O97" s="1" t="s">
        <v>91</v>
      </c>
      <c r="P97" s="1">
        <v>-18461000</v>
      </c>
      <c r="Q97" s="1" t="s">
        <v>91</v>
      </c>
      <c r="R97" s="1" t="s">
        <v>91</v>
      </c>
      <c r="S97" s="1" t="s">
        <v>91</v>
      </c>
      <c r="T97" s="1">
        <v>-130000000</v>
      </c>
      <c r="U97" s="1" t="s">
        <v>91</v>
      </c>
      <c r="V97" s="1" t="s">
        <v>91</v>
      </c>
      <c r="AC97" s="35" t="s">
        <v>136</v>
      </c>
      <c r="AD97" s="36">
        <f>(AD94)+((AD95)*(AD96-AD94))</f>
        <v>9.1051590000000002E-2</v>
      </c>
    </row>
    <row r="98" spans="1:30"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AC98" s="62" t="s">
        <v>137</v>
      </c>
      <c r="AD98" s="63"/>
    </row>
    <row r="99" spans="1:30" ht="20" x14ac:dyDescent="0.25">
      <c r="A99" s="5" t="s">
        <v>84</v>
      </c>
      <c r="B99" s="1" t="s">
        <v>91</v>
      </c>
      <c r="C99" s="1" t="s">
        <v>91</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91</v>
      </c>
      <c r="V99" s="1">
        <v>1163566000</v>
      </c>
      <c r="AC99" s="23" t="s">
        <v>138</v>
      </c>
      <c r="AD99" s="24">
        <f>AD86+AD87</f>
        <v>620564000</v>
      </c>
    </row>
    <row r="100" spans="1:30" ht="20" x14ac:dyDescent="0.25">
      <c r="A100" s="6" t="s">
        <v>85</v>
      </c>
      <c r="B100" s="10" t="s">
        <v>91</v>
      </c>
      <c r="C100" s="10" t="s">
        <v>91</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91</v>
      </c>
      <c r="V100" s="10">
        <v>522871000</v>
      </c>
      <c r="AC100" s="33" t="s">
        <v>139</v>
      </c>
      <c r="AD100" s="34">
        <f>AD99/AD103</f>
        <v>5.1019319241450152E-2</v>
      </c>
    </row>
    <row r="101" spans="1:30" ht="20" x14ac:dyDescent="0.25">
      <c r="A101" s="5" t="s">
        <v>86</v>
      </c>
      <c r="B101" s="1" t="s">
        <v>91</v>
      </c>
      <c r="C101" s="1" t="s">
        <v>91</v>
      </c>
      <c r="D101" s="1" t="s">
        <v>91</v>
      </c>
      <c r="E101" s="1" t="s">
        <v>91</v>
      </c>
      <c r="F101" s="1" t="s">
        <v>91</v>
      </c>
      <c r="G101" s="1" t="s">
        <v>91</v>
      </c>
      <c r="H101" s="1" t="s">
        <v>91</v>
      </c>
      <c r="I101" s="1" t="s">
        <v>91</v>
      </c>
      <c r="J101" s="1" t="s">
        <v>91</v>
      </c>
      <c r="K101" s="1">
        <v>318000</v>
      </c>
      <c r="L101" s="1">
        <v>-20000</v>
      </c>
      <c r="M101" s="1">
        <v>235000</v>
      </c>
      <c r="N101" s="1">
        <v>-668000</v>
      </c>
      <c r="O101" s="1">
        <v>-4000</v>
      </c>
      <c r="P101" s="1">
        <v>-45000</v>
      </c>
      <c r="Q101" s="1">
        <v>-6000</v>
      </c>
      <c r="R101" s="1">
        <v>-119000</v>
      </c>
      <c r="S101" s="1">
        <v>376000</v>
      </c>
      <c r="T101" s="1">
        <v>560000</v>
      </c>
      <c r="U101" s="1" t="s">
        <v>91</v>
      </c>
      <c r="V101" s="1">
        <v>-678000</v>
      </c>
      <c r="AC101" s="23" t="s">
        <v>140</v>
      </c>
      <c r="AD101" s="39" cm="1">
        <f t="array" ref="AD101">_FV(A1,"Market cap",TRUE)</f>
        <v>11542750000</v>
      </c>
    </row>
    <row r="102" spans="1:30" ht="20" x14ac:dyDescent="0.25">
      <c r="A102" s="6" t="s">
        <v>87</v>
      </c>
      <c r="B102" s="10" t="s">
        <v>91</v>
      </c>
      <c r="C102" s="10" t="s">
        <v>91</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91</v>
      </c>
      <c r="V102" s="10">
        <v>35110000</v>
      </c>
      <c r="AC102" s="33" t="s">
        <v>141</v>
      </c>
      <c r="AD102" s="34">
        <f>AD101/AD103</f>
        <v>0.9489806807585498</v>
      </c>
    </row>
    <row r="103" spans="1:30" ht="20" x14ac:dyDescent="0.25">
      <c r="A103" s="5" t="s">
        <v>88</v>
      </c>
      <c r="B103" s="1" t="s">
        <v>91</v>
      </c>
      <c r="C103" s="1" t="s">
        <v>91</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AC103" s="35" t="s">
        <v>142</v>
      </c>
      <c r="AD103" s="40">
        <f>AD99+AD101</f>
        <v>12163314000</v>
      </c>
    </row>
    <row r="104" spans="1:30" ht="20" thickBot="1" x14ac:dyDescent="0.3">
      <c r="A104" s="7" t="s">
        <v>89</v>
      </c>
      <c r="B104" s="11" t="s">
        <v>91</v>
      </c>
      <c r="C104" s="11" t="s">
        <v>91</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91</v>
      </c>
      <c r="V104" s="11">
        <v>268559000</v>
      </c>
      <c r="AC104" s="62" t="s">
        <v>143</v>
      </c>
      <c r="AD104" s="63"/>
    </row>
    <row r="105" spans="1:30" ht="21" thickTop="1" x14ac:dyDescent="0.25">
      <c r="A105" s="14" t="s">
        <v>159</v>
      </c>
      <c r="C105" s="1" t="e">
        <f t="shared" ref="C105:U105" si="8">(C22*(1-$AD$91))+C77+C88+C81</f>
        <v>#VALUE!</v>
      </c>
      <c r="D105" s="1">
        <f t="shared" si="8"/>
        <v>132645158.29209134</v>
      </c>
      <c r="E105" s="1">
        <f t="shared" si="8"/>
        <v>-13326303.251166008</v>
      </c>
      <c r="F105" s="1">
        <f t="shared" si="8"/>
        <v>12105745.096234631</v>
      </c>
      <c r="G105" s="1">
        <f t="shared" si="8"/>
        <v>-11744482.963367604</v>
      </c>
      <c r="H105" s="1">
        <f t="shared" si="8"/>
        <v>25395263.721191213</v>
      </c>
      <c r="I105" s="1">
        <f t="shared" si="8"/>
        <v>-41033252.879023135</v>
      </c>
      <c r="J105" s="1">
        <f t="shared" si="8"/>
        <v>-40486144.736412406</v>
      </c>
      <c r="K105" s="1">
        <f t="shared" si="8"/>
        <v>-2632619.4137747809</v>
      </c>
      <c r="L105" s="1">
        <f t="shared" si="8"/>
        <v>12106728.337187864</v>
      </c>
      <c r="M105" s="1">
        <f t="shared" si="8"/>
        <v>-77060259.264977008</v>
      </c>
      <c r="N105" s="1">
        <f t="shared" si="8"/>
        <v>-125760047.25487112</v>
      </c>
      <c r="O105" s="1">
        <f t="shared" si="8"/>
        <v>108588832.23734015</v>
      </c>
      <c r="P105" s="1">
        <f t="shared" si="8"/>
        <v>-131891298.93448682</v>
      </c>
      <c r="Q105" s="1">
        <f t="shared" si="8"/>
        <v>40873534.98914893</v>
      </c>
      <c r="R105" s="1">
        <f t="shared" si="8"/>
        <v>195742808.7479552</v>
      </c>
      <c r="S105" s="1">
        <f t="shared" si="8"/>
        <v>-98689623.54044883</v>
      </c>
      <c r="T105" s="1">
        <f t="shared" si="8"/>
        <v>-2126953.6446844637</v>
      </c>
      <c r="U105" s="1">
        <f t="shared" si="8"/>
        <v>372318816.25612694</v>
      </c>
      <c r="V105" s="1">
        <f>(V22*(1-$AD$91))+V77+V88+V81</f>
        <v>-514257471.53930879</v>
      </c>
      <c r="W105" s="41">
        <f>V105*(1+$AD$106)</f>
        <v>-601019136.47408175</v>
      </c>
      <c r="X105" s="41">
        <f t="shared" ref="X105:AA105" si="9">W105*(1+$AD$106)</f>
        <v>-702418579.01803899</v>
      </c>
      <c r="Y105" s="41">
        <f t="shared" si="9"/>
        <v>-820925375.26215363</v>
      </c>
      <c r="Z105" s="41">
        <f t="shared" si="9"/>
        <v>-959425749.65973485</v>
      </c>
      <c r="AA105" s="41">
        <f t="shared" si="9"/>
        <v>-1121292868.8142855</v>
      </c>
      <c r="AB105" s="42" t="s">
        <v>157</v>
      </c>
      <c r="AC105" s="25" t="s">
        <v>106</v>
      </c>
      <c r="AD105" s="26">
        <f>(AD100*AD92)+(AD102*AD97)</f>
        <v>8.6850674789510002E-2</v>
      </c>
    </row>
    <row r="106" spans="1:30" ht="19" x14ac:dyDescent="0.25">
      <c r="A106" s="14" t="s">
        <v>160</v>
      </c>
      <c r="B106" s="1"/>
      <c r="C106" s="15" t="e">
        <f>(C107/B107)-1</f>
        <v>#VALUE!</v>
      </c>
      <c r="D106" s="15" t="e">
        <f>(D107/C107)-1</f>
        <v>#VALUE!</v>
      </c>
      <c r="E106" s="15">
        <f>(E107/D107)-1</f>
        <v>-1.8791982665222102</v>
      </c>
      <c r="F106" s="15">
        <f>(F107/E107)-1</f>
        <v>-4.6805298829328406</v>
      </c>
      <c r="G106" s="15">
        <f>(G107/F107)-1</f>
        <v>-0.79768979660165729</v>
      </c>
      <c r="H106" s="15">
        <f>(H107/G107)-1</f>
        <v>6.5539925527513443</v>
      </c>
      <c r="I106" s="15">
        <f>(I107/H107)-1</f>
        <v>-2.3362361704458321</v>
      </c>
      <c r="J106" s="15">
        <f>(J107/I107)-1</f>
        <v>-0.30659507316473333</v>
      </c>
      <c r="K106" s="15">
        <f>(K107/J107)-1</f>
        <v>-0.50375362061831286</v>
      </c>
      <c r="L106" s="15">
        <f>(L107/K107)-1</f>
        <v>-2.022275163787969</v>
      </c>
      <c r="M106" s="15">
        <f>(M107/L107)-1</f>
        <v>-4.9651596364483801</v>
      </c>
      <c r="N106" s="15">
        <f>(N107/M107)-1</f>
        <v>1.3431778776925563</v>
      </c>
      <c r="O106" s="15">
        <f>(O107/N107)-1</f>
        <v>-1.9205503160429416</v>
      </c>
      <c r="P106" s="15">
        <f>(P107/O107)-1</f>
        <v>-2.7105080312257326</v>
      </c>
      <c r="Q106" s="15">
        <f>(Q107/P107)-1</f>
        <v>-1.4740866407015365</v>
      </c>
      <c r="R106" s="15">
        <f>(R107/Q107)-1</f>
        <v>2.9934983115770373</v>
      </c>
      <c r="S106" s="15">
        <f>(S107/R107)-1</f>
        <v>-1.3141372709871479</v>
      </c>
      <c r="T106" s="15">
        <f>(T107/S107)-1</f>
        <v>-1.8696566316691665</v>
      </c>
      <c r="U106" s="15">
        <f>(U107/T107)-1</f>
        <v>3.37561403778931</v>
      </c>
      <c r="V106" s="15">
        <f>(V107/U107)-1</f>
        <v>-2.7103164548052421</v>
      </c>
      <c r="W106" s="64">
        <v>243700000</v>
      </c>
      <c r="X106" s="64">
        <v>477900000</v>
      </c>
      <c r="Y106" s="64">
        <v>870300000</v>
      </c>
      <c r="Z106" s="64">
        <v>1712000000</v>
      </c>
      <c r="AA106" s="64">
        <v>2200000000</v>
      </c>
      <c r="AB106" s="42" t="s">
        <v>158</v>
      </c>
      <c r="AC106" s="43" t="s">
        <v>144</v>
      </c>
      <c r="AD106" s="44">
        <f>(SUM(W4:AA4)/5)</f>
        <v>0.16871250246510239</v>
      </c>
    </row>
    <row r="107" spans="1:30" ht="19" x14ac:dyDescent="0.25">
      <c r="A107" s="66" t="s">
        <v>161</v>
      </c>
      <c r="B107" s="1" t="s">
        <v>91</v>
      </c>
      <c r="C107" s="1" t="s">
        <v>91</v>
      </c>
      <c r="D107" s="1">
        <v>3692000</v>
      </c>
      <c r="E107" s="1">
        <v>-3246000</v>
      </c>
      <c r="F107" s="1">
        <v>11947000</v>
      </c>
      <c r="G107" s="1">
        <v>2417000</v>
      </c>
      <c r="H107" s="1">
        <v>18258000</v>
      </c>
      <c r="I107" s="1">
        <v>-24397000</v>
      </c>
      <c r="J107" s="1">
        <v>-16917000</v>
      </c>
      <c r="K107" s="1">
        <v>-8395000</v>
      </c>
      <c r="L107" s="1">
        <v>8582000</v>
      </c>
      <c r="M107" s="1">
        <v>-34029000</v>
      </c>
      <c r="N107" s="1">
        <v>-79736000</v>
      </c>
      <c r="O107" s="1">
        <v>73401000</v>
      </c>
      <c r="P107" s="1">
        <v>-125553000</v>
      </c>
      <c r="Q107" s="1">
        <v>59523000</v>
      </c>
      <c r="R107" s="1">
        <v>237705000</v>
      </c>
      <c r="S107" s="1">
        <v>-74672000</v>
      </c>
      <c r="T107" s="1">
        <v>64939000</v>
      </c>
      <c r="U107" s="1">
        <v>284148000</v>
      </c>
      <c r="V107" s="1">
        <v>-485983000</v>
      </c>
      <c r="W107" s="42"/>
      <c r="X107" s="42"/>
      <c r="Y107" s="42"/>
      <c r="Z107" s="42"/>
      <c r="AA107" s="65">
        <f>AA106*(1+AD107)/(AD108-AD107)</f>
        <v>36458777655.606964</v>
      </c>
      <c r="AB107" s="45" t="s">
        <v>145</v>
      </c>
      <c r="AC107" s="46" t="s">
        <v>146</v>
      </c>
      <c r="AD107" s="47">
        <v>2.5000000000000001E-2</v>
      </c>
    </row>
    <row r="108" spans="1:30" ht="19" x14ac:dyDescent="0.25">
      <c r="W108" s="65">
        <f t="shared" ref="W108:Y108" si="10">W107+W106</f>
        <v>243700000</v>
      </c>
      <c r="X108" s="65">
        <f t="shared" si="10"/>
        <v>477900000</v>
      </c>
      <c r="Y108" s="65">
        <f t="shared" si="10"/>
        <v>870300000</v>
      </c>
      <c r="Z108" s="65">
        <f>Z107+Z106</f>
        <v>1712000000</v>
      </c>
      <c r="AA108" s="65">
        <f>AA107+AA106</f>
        <v>38658777655.606964</v>
      </c>
      <c r="AB108" s="45" t="s">
        <v>142</v>
      </c>
      <c r="AC108" s="48" t="s">
        <v>147</v>
      </c>
      <c r="AD108" s="49">
        <f>AD105</f>
        <v>8.6850674789510002E-2</v>
      </c>
    </row>
    <row r="109" spans="1:30" ht="19" x14ac:dyDescent="0.25">
      <c r="W109" s="58" t="s">
        <v>148</v>
      </c>
      <c r="X109" s="59"/>
    </row>
    <row r="110" spans="1:30" ht="20" x14ac:dyDescent="0.25">
      <c r="W110" s="50" t="s">
        <v>149</v>
      </c>
      <c r="X110" s="39">
        <f>NPV(AD108,W108,X108,Y108,Z108,AA108)</f>
        <v>28025327410.877781</v>
      </c>
    </row>
    <row r="111" spans="1:30" ht="20" x14ac:dyDescent="0.25">
      <c r="W111" s="50" t="s">
        <v>150</v>
      </c>
      <c r="X111" s="39">
        <f>V40</f>
        <v>267397000</v>
      </c>
    </row>
    <row r="112" spans="1:30" ht="20" x14ac:dyDescent="0.25">
      <c r="W112" s="50" t="s">
        <v>138</v>
      </c>
      <c r="X112" s="39">
        <f>AD99</f>
        <v>620564000</v>
      </c>
    </row>
    <row r="113" spans="23:24" ht="20" x14ac:dyDescent="0.25">
      <c r="W113" s="50" t="s">
        <v>151</v>
      </c>
      <c r="X113" s="39">
        <f>X110+X111-X112</f>
        <v>27672160410.877781</v>
      </c>
    </row>
    <row r="114" spans="23:24" ht="20" x14ac:dyDescent="0.25">
      <c r="W114" s="50" t="s">
        <v>152</v>
      </c>
      <c r="X114" s="51">
        <f>V34*(1+(5*AB16))</f>
        <v>55607726.056164168</v>
      </c>
    </row>
    <row r="115" spans="23:24" ht="20" x14ac:dyDescent="0.25">
      <c r="W115" s="52" t="s">
        <v>153</v>
      </c>
      <c r="X115" s="53">
        <f>X113/X114</f>
        <v>497.63157700296392</v>
      </c>
    </row>
    <row r="116" spans="23:24" ht="20" x14ac:dyDescent="0.25">
      <c r="W116" s="50" t="s">
        <v>154</v>
      </c>
      <c r="X116" s="54" cm="1">
        <f t="array" ref="X116">_FV(A1,"Price",TRUE)</f>
        <v>226.46</v>
      </c>
    </row>
    <row r="117" spans="23:24" ht="20" x14ac:dyDescent="0.25">
      <c r="W117" s="55" t="s">
        <v>155</v>
      </c>
      <c r="X117" s="56">
        <f>X115/X116-1</f>
        <v>1.197436973430027</v>
      </c>
    </row>
    <row r="118" spans="23:24" ht="20" x14ac:dyDescent="0.25">
      <c r="W118" s="55" t="s">
        <v>156</v>
      </c>
      <c r="X118" s="57" t="str">
        <f>IF(X115&gt;X116,"BUY","SELL")</f>
        <v>BUY</v>
      </c>
    </row>
  </sheetData>
  <mergeCells count="6">
    <mergeCell ref="W109:X109"/>
    <mergeCell ref="AC83:AD83"/>
    <mergeCell ref="AC84:AD84"/>
    <mergeCell ref="AC93:AD93"/>
    <mergeCell ref="AC98:AD98"/>
    <mergeCell ref="AC104:AD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ASDAQGS:SMCI/explorer/revenue_proj" xr:uid="{AD4FD872-616A-5C45-B4FA-AC5193683BA7}"/>
    <hyperlink ref="AB106" r:id="rId45" xr:uid="{37BD8B5A-81A9-BB4D-A807-8761207444B8}"/>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2023-03-13T04:15:10Z</dcterms:created>
  <dcterms:modified xsi:type="dcterms:W3CDTF">2023-06-23T11:41:11Z</dcterms:modified>
</cp:coreProperties>
</file>