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6278ACC-0309-9D4D-A9EE-37FFA7A02FC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94" i="1" l="1"/>
  <c r="AC105" i="1"/>
  <c r="AD105" i="1" s="1"/>
  <c r="AE105" i="1" s="1"/>
  <c r="AF105" i="1" s="1"/>
  <c r="AB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C116" i="1" l="1" a="1"/>
  <c r="AC116" i="1" s="1"/>
  <c r="AI95" i="1" a="1"/>
  <c r="AI95" i="1" s="1"/>
  <c r="AI97" i="1" s="1"/>
  <c r="AI101" i="1" a="1"/>
  <c r="AI101" i="1" s="1"/>
  <c r="AJ102" i="1" s="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I4" i="1"/>
  <c r="AH4" i="1"/>
  <c r="AG4" i="1"/>
  <c r="AF4" i="1"/>
  <c r="AE4" i="1"/>
  <c r="AD4" i="1"/>
  <c r="AC4" i="1"/>
  <c r="AB4" i="1"/>
  <c r="AA9" i="1"/>
  <c r="AA13" i="1"/>
  <c r="AA20" i="1"/>
  <c r="AA29" i="1"/>
  <c r="AA35" i="1"/>
  <c r="AA80" i="1"/>
  <c r="AA89" i="1"/>
  <c r="AA106" i="1"/>
  <c r="AJ4" i="1" s="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6" i="1" l="1"/>
  <c r="AJ16" i="1"/>
  <c r="AI16" i="1"/>
  <c r="AH16" i="1"/>
  <c r="AC108" i="1"/>
  <c r="AI92" i="1"/>
  <c r="AI103" i="1"/>
  <c r="AI102" i="1" s="1"/>
  <c r="AC112" i="1"/>
  <c r="AB108" i="1"/>
  <c r="AD108" i="1" l="1"/>
  <c r="AI100" i="1"/>
  <c r="AI105" i="1" s="1"/>
  <c r="AI108" i="1" s="1"/>
  <c r="AF107" i="1" l="1"/>
  <c r="AF108" i="1" s="1"/>
  <c r="AE108" i="1"/>
  <c r="AC110" i="1" l="1"/>
  <c r="AC113" i="1" s="1"/>
  <c r="AC115" i="1" s="1"/>
  <c r="AC118" i="1" s="1"/>
  <c r="AC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<sst xmlns="http://schemas.openxmlformats.org/spreadsheetml/2006/main" count="662" uniqueCount="163">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</sst>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0" fontId="12" fillId="4" borderId="0" xfId="0" applyNumberFormat="1" applyFont="1" applyFill="1"/>
    <xf numFmtId="0" fontId="1" fillId="7" borderId="6" xfId="0" applyFont="1" applyFill="1" applyBorder="1"/>
    <xf numFmtId="164" fontId="11" fillId="4" borderId="6" xfId="0" applyNumberFormat="1" applyFont="1" applyFill="1" applyBorder="1"/>
    <xf numFmtId="0" fontId="12" fillId="7" borderId="6" xfId="0" applyFont="1" applyFill="1" applyBorder="1" applyAlignment="1">
      <alignment horizontal="center"/>
    </xf>
    <xf numFmtId="164" fontId="10" fillId="8" borderId="0" xfId="0" applyNumberFormat="1" applyFont="1" applyFill="1"/>
    <xf numFmtId="164" fontId="1" fillId="8" borderId="0" xfId="0" applyNumberFormat="1" applyFont="1" applyFill="1"/>
    <xf numFmtId="10" fontId="11" fillId="7"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TSM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55293670653911E-2"/>
          <c:y val="0.11525455310452605"/>
          <c:w val="0.8465823103226906"/>
          <c:h val="0.745126525214882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numCache>
            </c:numRef>
          </c:val>
          <c:extLst>
            <c:ext xmlns:c16="http://schemas.microsoft.com/office/drawing/2014/chart" uri="{C3380CC4-5D6E-409C-BE32-E72D297353CC}">
              <c16:uniqueId val="{00000000-A12C-3E4B-856F-5798D1D2983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25236529748</c:v>
                </c:pt>
                <c:pt idx="1">
                  <c:v>28924431578</c:v>
                </c:pt>
                <c:pt idx="2">
                  <c:v>42219969222</c:v>
                </c:pt>
                <c:pt idx="3">
                  <c:v>105384428234</c:v>
                </c:pt>
                <c:pt idx="4">
                  <c:v>59017945562</c:v>
                </c:pt>
                <c:pt idx="5">
                  <c:v>92408142596</c:v>
                </c:pt>
                <c:pt idx="6">
                  <c:v>120101876820</c:v>
                </c:pt>
                <c:pt idx="7">
                  <c:v>162060216360</c:v>
                </c:pt>
                <c:pt idx="8">
                  <c:v>170484554525</c:v>
                </c:pt>
                <c:pt idx="9">
                  <c:v>208468862569</c:v>
                </c:pt>
                <c:pt idx="10">
                  <c:v>200784840430</c:v>
                </c:pt>
                <c:pt idx="11">
                  <c:v>192920947615</c:v>
                </c:pt>
                <c:pt idx="12">
                  <c:v>176420400000</c:v>
                </c:pt>
                <c:pt idx="13">
                  <c:v>257829000000</c:v>
                </c:pt>
                <c:pt idx="14">
                  <c:v>253203900000</c:v>
                </c:pt>
                <c:pt idx="15">
                  <c:v>314118800000</c:v>
                </c:pt>
                <c:pt idx="16">
                  <c:v>374918000000</c:v>
                </c:pt>
                <c:pt idx="17">
                  <c:v>505679100000</c:v>
                </c:pt>
                <c:pt idx="18">
                  <c:v>576191500000</c:v>
                </c:pt>
                <c:pt idx="19">
                  <c:v>612972600000</c:v>
                </c:pt>
                <c:pt idx="20">
                  <c:v>659594200000</c:v>
                </c:pt>
                <c:pt idx="21">
                  <c:v>693087000000</c:v>
                </c:pt>
                <c:pt idx="22">
                  <c:v>679918200000</c:v>
                </c:pt>
                <c:pt idx="23">
                  <c:v>918288400000</c:v>
                </c:pt>
                <c:pt idx="24">
                  <c:v>1090323700000</c:v>
                </c:pt>
                <c:pt idx="25">
                  <c:v>1592824709000</c:v>
                </c:pt>
              </c:numCache>
            </c:numRef>
          </c:val>
          <c:extLst>
            <c:ext xmlns:c16="http://schemas.microsoft.com/office/drawing/2014/chart" uri="{C3380CC4-5D6E-409C-BE32-E72D297353CC}">
              <c16:uniqueId val="{00000001-A12C-3E4B-856F-5798D1D2983B}"/>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numCache>
            </c:numRef>
          </c:val>
          <c:extLst>
            <c:ext xmlns:c16="http://schemas.microsoft.com/office/drawing/2014/chart" uri="{C3380CC4-5D6E-409C-BE32-E72D297353CC}">
              <c16:uniqueId val="{00000002-A12C-3E4B-856F-5798D1D2983B}"/>
            </c:ext>
          </c:extLst>
        </c:ser>
        <c:dLbls>
          <c:showLegendKey val="0"/>
          <c:showVal val="0"/>
          <c:showCatName val="0"/>
          <c:showSerName val="0"/>
          <c:showPercent val="0"/>
          <c:showBubbleSize val="0"/>
        </c:dLbls>
        <c:gapWidth val="100"/>
        <c:overlap val="-24"/>
        <c:axId val="1104215568"/>
        <c:axId val="1104217296"/>
      </c:barChart>
      <c:catAx>
        <c:axId val="110421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217296"/>
        <c:crosses val="autoZero"/>
        <c:auto val="1"/>
        <c:lblAlgn val="ctr"/>
        <c:lblOffset val="100"/>
        <c:noMultiLvlLbl val="0"/>
      </c:catAx>
      <c:valAx>
        <c:axId val="110421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215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63499</xdr:colOff>
      <xdr:row>108</xdr:row>
      <xdr:rowOff>41275</xdr:rowOff>
    </xdr:from>
    <xdr:to>
      <xdr:col>34</xdr:col>
      <xdr:colOff>1587499</xdr:colOff>
      <xdr:row>130</xdr:row>
      <xdr:rowOff>31750</xdr:rowOff>
    </xdr:to>
    <xdr:graphicFrame macro="">
      <xdr:nvGraphicFramePr>
        <xdr:cNvPr id="2" name="Chart 1">
          <a:extLst>
            <a:ext uri="{FF2B5EF4-FFF2-40B4-BE49-F238E27FC236}">
              <a16:creationId xmlns:a16="http://schemas.microsoft.com/office/drawing/2014/main" id="{F6021955-9D7A-B6BF-10AB-F39C3DE49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370</v>
    <v>1.3668</v>
    <v>-2</v>
    <v>-3.431E-3</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585</v>
    <v>Semiconductors &amp; Semiconductor Equipment</v>
    <v>Stock</v>
    <v>45098.398842592593</v>
    <v>0</v>
    <v>578</v>
    <v>15066530000000</v>
    <v>Taiwan Semiconductor Manufacturing Co., Ltd.</v>
    <v>Taiwan Semiconductor Manufacturing Co., Ltd.</v>
    <v>582</v>
    <v>14.76</v>
    <v>583</v>
    <v>581</v>
    <v>25932070000</v>
    <v>2330</v>
    <v>Taiwan Semiconductor Manufacturing Co., Ltd. (XTAI:2330)</v>
    <v>23718735</v>
    <v>28938200</v>
    <v>1987</v>
  </rv>
  <rv s="2">
    <v>1</v>
  </rv>
  <rv s="0">
    <v>https://www.bing.com/financeapi/forcetrigger?t=a24kjc&amp;q=XNYS%3aTSM&amp;form=skydnc</v>
    <v>Learn more on Bing</v>
  </rv>
  <rv s="1">
    <v>0</v>
    <v>Taiwan Semiconductor Manufacturing Co., Ltd. (XNYS:TSM)</v>
    <v>2</v>
    <v>5</v>
    <v>Finance</v>
    <v>6</v>
    <v>en-US</v>
    <v>a24kjc</v>
    <v>268435456</v>
    <v>1</v>
    <v>Powered by Refinitiv</v>
    <v>110.69</v>
    <v>59.43</v>
    <v>1.0913999999999999</v>
    <v>1.49</v>
    <v>1.4659999999999999E-2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103.425</v>
    <v>Semiconductors &amp; Semiconductor Equipment</v>
    <v>Stock</v>
    <v>45099.999144779686</v>
    <v>3</v>
    <v>101.33</v>
    <v>486959700000</v>
    <v>Taiwan Semiconductor Manufacturing Co., Ltd.</v>
    <v>Taiwan Semiconductor Manufacturing Co., Ltd.</v>
    <v>101.42</v>
    <v>15.998100000000001</v>
    <v>101.64</v>
    <v>103.13</v>
    <v>5186414000</v>
    <v>TSM</v>
    <v>Taiwan Semiconductor Manufacturing Co., Ltd. (XNYS:TSM)</v>
    <v>10473</v>
    <v>16197287</v>
    <v>1987</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3">
      <v>10</v>
      <v>2</v>
      <v>2</v>
      <v>10</v>
      <v>3</v>
      <v>10</v>
      <v>10</v>
      <v>10</v>
      <v>4</v>
      <v>4</v>
      <v>5</v>
      <v>11</v>
      <v>10</v>
      <v>10</v>
      <v>10</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87" activePane="bottomRight" state="frozen"/>
      <selection pane="topRight"/>
      <selection pane="bottomLeft"/>
      <selection pane="bottomRight" activeCell="Z119" sqref="Z119"/>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8">
        <v>2178980000000</v>
      </c>
      <c r="AC3" s="28">
        <v>2653248000000</v>
      </c>
      <c r="AD3" s="28">
        <v>3057300000000</v>
      </c>
      <c r="AE3" s="28">
        <v>3228981000000</v>
      </c>
      <c r="AF3" s="28">
        <v>3556781000000</v>
      </c>
      <c r="AG3" s="18" t="s">
        <v>109</v>
      </c>
      <c r="AH3" s="19" t="s">
        <v>110</v>
      </c>
      <c r="AI3" s="19" t="s">
        <v>111</v>
      </c>
      <c r="AJ3" s="19" t="s">
        <v>112</v>
      </c>
    </row>
    <row r="4" spans="1:36" ht="19" x14ac:dyDescent="0.25">
      <c r="A4" s="14" t="s">
        <v>94</v>
      </c>
      <c r="B4" s="1"/>
      <c r="C4" s="15">
        <f>(C3/B3)-1</f>
        <v>0.14269167753701462</v>
      </c>
      <c r="D4" s="15">
        <f>(D3/C3)-1</f>
        <v>0.4516735458392942</v>
      </c>
      <c r="E4" s="15">
        <f>(E3/D3)-1</f>
        <v>1.2743145641259042</v>
      </c>
      <c r="F4" s="15">
        <f t="shared" ref="F4:AF4" si="0">(F3/E3)-1</f>
        <v>-0.21655069111953185</v>
      </c>
      <c r="G4" s="15">
        <f t="shared" si="0"/>
        <v>0.24865014498486815</v>
      </c>
      <c r="H4" s="16">
        <f t="shared" si="0"/>
        <v>0.24642778619370009</v>
      </c>
      <c r="I4" s="16">
        <f t="shared" si="0"/>
        <v>0.27127869200966415</v>
      </c>
      <c r="J4" s="16">
        <f t="shared" si="0"/>
        <v>3.7807205884977435E-2</v>
      </c>
      <c r="K4" s="16">
        <f t="shared" si="0"/>
        <v>0.18699401684619166</v>
      </c>
      <c r="L4" s="16">
        <f t="shared" si="0"/>
        <v>1.6665747011531451E-2</v>
      </c>
      <c r="M4" s="16">
        <f t="shared" si="0"/>
        <v>3.5387533504990243E-2</v>
      </c>
      <c r="N4" s="16">
        <f t="shared" si="0"/>
        <v>-0.11471593392458146</v>
      </c>
      <c r="O4" s="16">
        <f t="shared" si="0"/>
        <v>0.41859328834369935</v>
      </c>
      <c r="P4" s="16">
        <f t="shared" si="0"/>
        <v>1.7978590253705296E-2</v>
      </c>
      <c r="Q4" s="16">
        <f t="shared" si="0"/>
        <v>0.18531162501879028</v>
      </c>
      <c r="R4" s="16">
        <f t="shared" si="0"/>
        <v>0.17932727751136057</v>
      </c>
      <c r="S4" s="16">
        <f t="shared" si="0"/>
        <v>0.2777735064446043</v>
      </c>
      <c r="T4" s="16">
        <f t="shared" si="0"/>
        <v>0.10576009228732297</v>
      </c>
      <c r="U4" s="16">
        <f t="shared" si="0"/>
        <v>0.12376425956936021</v>
      </c>
      <c r="V4" s="16">
        <f t="shared" si="0"/>
        <v>3.1156359701963066E-2</v>
      </c>
      <c r="W4" s="16">
        <f t="shared" si="0"/>
        <v>5.5163546176522305E-2</v>
      </c>
      <c r="X4" s="16">
        <f t="shared" si="0"/>
        <v>3.745242455169473E-2</v>
      </c>
      <c r="Y4" s="16">
        <f t="shared" si="0"/>
        <v>0.25163786761132445</v>
      </c>
      <c r="Z4" s="16">
        <f t="shared" si="0"/>
        <v>0.18531165285346862</v>
      </c>
      <c r="AA4" s="16">
        <f t="shared" si="0"/>
        <v>0.42614961556996755</v>
      </c>
      <c r="AB4" s="16">
        <f t="shared" si="0"/>
        <v>-3.7506788554757198E-2</v>
      </c>
      <c r="AC4" s="16">
        <f t="shared" si="0"/>
        <v>0.21765596747101856</v>
      </c>
      <c r="AD4" s="16">
        <f t="shared" si="0"/>
        <v>0.15228580215645127</v>
      </c>
      <c r="AE4" s="16">
        <f t="shared" si="0"/>
        <v>5.6154450004906264E-2</v>
      </c>
      <c r="AF4" s="16">
        <f t="shared" si="0"/>
        <v>0.10151809502750253</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113</v>
      </c>
      <c r="AH6" s="19" t="s">
        <v>114</v>
      </c>
      <c r="AI6" s="19" t="s">
        <v>115</v>
      </c>
      <c r="AJ6" s="19" t="s">
        <v>116</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AA21</f>
        <v>0.7036</v>
      </c>
      <c r="AI7" s="20">
        <f>AA30</f>
        <v>0.44900000000000001</v>
      </c>
      <c r="AJ7" s="20">
        <f>AA107/AA3</f>
        <v>0.23012268028989794</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95</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96</v>
      </c>
      <c r="AH9" s="19" t="s">
        <v>97</v>
      </c>
      <c r="AI9" s="19" t="s">
        <v>98</v>
      </c>
      <c r="AJ9" s="19" t="s">
        <v>99</v>
      </c>
    </row>
    <row r="10" spans="1:36"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117</v>
      </c>
      <c r="AH12" s="19" t="s">
        <v>118</v>
      </c>
      <c r="AI12" s="19" t="s">
        <v>119</v>
      </c>
      <c r="AJ12" s="19" t="s">
        <v>120</v>
      </c>
    </row>
    <row r="13" spans="1:36" ht="19" x14ac:dyDescent="0.25">
      <c r="A13" s="14" t="s">
        <v>100</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92</v>
      </c>
      <c r="C14" s="1" t="s">
        <v>92</v>
      </c>
      <c r="D14" s="1" t="s">
        <v>92</v>
      </c>
      <c r="E14" s="1">
        <v>-33113</v>
      </c>
      <c r="F14" s="1">
        <v>276223816</v>
      </c>
      <c r="G14" s="1" t="s">
        <v>92</v>
      </c>
      <c r="H14" s="1" t="s">
        <v>92</v>
      </c>
      <c r="I14" s="1" t="s">
        <v>92</v>
      </c>
      <c r="J14" s="1" t="s">
        <v>92</v>
      </c>
      <c r="K14" s="1" t="s">
        <v>92</v>
      </c>
      <c r="L14" s="1" t="s">
        <v>92</v>
      </c>
      <c r="M14" s="1" t="s">
        <v>92</v>
      </c>
      <c r="N14" s="1" t="s">
        <v>92</v>
      </c>
      <c r="O14" s="1" t="s">
        <v>92</v>
      </c>
      <c r="P14" s="1" t="s">
        <v>92</v>
      </c>
      <c r="Q14" s="1" t="s">
        <v>92</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121</v>
      </c>
      <c r="AH15" s="19" t="s">
        <v>122</v>
      </c>
      <c r="AI15" s="19" t="s">
        <v>123</v>
      </c>
      <c r="AJ15" s="19" t="s">
        <v>124</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9">
        <f>(AA35+Z35+Y35+X35+W35)/5</f>
        <v>0</v>
      </c>
      <c r="AH16" s="30">
        <f>AI101/AA3</f>
        <v>6.6551472914097856</v>
      </c>
      <c r="AI16" s="30">
        <f>AI101/AA28</f>
        <v>14.821526476778754</v>
      </c>
      <c r="AJ16" s="31">
        <f>AI101/AA107</f>
        <v>28.919997294599288</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3"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125</v>
      </c>
    </row>
    <row r="19" spans="1:33"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G19" s="32">
        <f>AA40-AA56-AA61</f>
        <v>698325653000</v>
      </c>
    </row>
    <row r="20" spans="1:33" ht="19" customHeight="1" x14ac:dyDescent="0.25">
      <c r="A20" s="14" t="s">
        <v>101</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row>
    <row r="21" spans="1:33" ht="19"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row>
    <row r="22" spans="1:33"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row>
    <row r="23" spans="1:33"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3"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3"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3"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3"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3"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row>
    <row r="29" spans="1:33" ht="20" customHeight="1" thickTop="1" x14ac:dyDescent="0.25">
      <c r="A29" s="14" t="s">
        <v>102</v>
      </c>
      <c r="B29" s="1"/>
      <c r="C29" s="15">
        <f>(C28/B28)-1</f>
        <v>-0.14966835450247795</v>
      </c>
      <c r="D29" s="15">
        <f>(D28/C28)-1</f>
        <v>0.60375318125678379</v>
      </c>
      <c r="E29" s="15">
        <f>(E28/D28)-1</f>
        <v>1.6505763482233671</v>
      </c>
      <c r="F29" s="15">
        <f t="shared" ref="F29:AA29" si="4">(F28/E28)-1</f>
        <v>-0.77754519710175629</v>
      </c>
      <c r="G29" s="15">
        <f t="shared" si="4"/>
        <v>0.49469181690230646</v>
      </c>
      <c r="H29" s="15">
        <f t="shared" si="4"/>
        <v>1.1787192865798253</v>
      </c>
      <c r="I29" s="15">
        <f t="shared" si="4"/>
        <v>0.96028885468626801</v>
      </c>
      <c r="J29" s="15">
        <f t="shared" si="4"/>
        <v>1.5127391499761611E-2</v>
      </c>
      <c r="K29" s="15">
        <f t="shared" si="4"/>
        <v>0.35304556457092628</v>
      </c>
      <c r="L29" s="15">
        <f t="shared" si="4"/>
        <v>-0.14023707136660157</v>
      </c>
      <c r="M29" s="15">
        <f t="shared" si="4"/>
        <v>-8.2197840516261222E-2</v>
      </c>
      <c r="N29" s="15">
        <f t="shared" si="4"/>
        <v>-0.10966447969052595</v>
      </c>
      <c r="O29" s="15">
        <f t="shared" si="4"/>
        <v>0.81135378814541492</v>
      </c>
      <c r="P29" s="15">
        <f t="shared" si="4"/>
        <v>-0.16957210482348939</v>
      </c>
      <c r="Q29" s="15">
        <f t="shared" si="4"/>
        <v>0.23813107622653429</v>
      </c>
      <c r="R29" s="15">
        <f t="shared" si="4"/>
        <v>0.10723958044954585</v>
      </c>
      <c r="S29" s="15">
        <f t="shared" si="4"/>
        <v>0.3822410989163898</v>
      </c>
      <c r="T29" s="15">
        <f t="shared" si="4"/>
        <v>0.19091322344273376</v>
      </c>
      <c r="U29" s="15">
        <f t="shared" si="4"/>
        <v>9.5303662627385322E-2</v>
      </c>
      <c r="V29" s="15">
        <f t="shared" si="4"/>
        <v>4.0048391127650129E-2</v>
      </c>
      <c r="W29" s="15">
        <f t="shared" si="4"/>
        <v>5.2331852069995799E-2</v>
      </c>
      <c r="X29" s="15">
        <f t="shared" si="4"/>
        <v>-2.5078177355518871E-2</v>
      </c>
      <c r="Y29" s="15">
        <f t="shared" si="4"/>
        <v>0.44299162588854868</v>
      </c>
      <c r="Z29" s="15">
        <f t="shared" si="4"/>
        <v>0.15979668875209496</v>
      </c>
      <c r="AA29" s="15">
        <f t="shared" si="4"/>
        <v>0.71607066962073018</v>
      </c>
    </row>
    <row r="30" spans="1:33"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row>
    <row r="31" spans="1:33"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row>
    <row r="32" spans="1:33"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7"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row>
    <row r="34" spans="1:27"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row>
    <row r="35" spans="1:27" ht="20" customHeight="1" x14ac:dyDescent="0.25">
      <c r="A35" s="14" t="s">
        <v>103</v>
      </c>
      <c r="B35" s="1"/>
      <c r="C35" s="22">
        <f>(C34-B34)/B34</f>
        <v>2.235835554819213E-2</v>
      </c>
      <c r="D35" s="22">
        <f t="shared" ref="D35:AA35" si="5">(D34-C34)/C34</f>
        <v>1.9190687958425219E-2</v>
      </c>
      <c r="E35" s="22">
        <f t="shared" si="5"/>
        <v>0.17444564279674479</v>
      </c>
      <c r="F35" s="22">
        <f t="shared" si="5"/>
        <v>9.3117177520547892E-2</v>
      </c>
      <c r="G35" s="22">
        <f t="shared" si="5"/>
        <v>-3.2012728384297459E-2</v>
      </c>
      <c r="H35" s="22">
        <f t="shared" si="5"/>
        <v>8.2016106525435086E-3</v>
      </c>
      <c r="I35" s="22">
        <f t="shared" si="5"/>
        <v>7.4816761976436051E-3</v>
      </c>
      <c r="J35" s="22">
        <f t="shared" si="5"/>
        <v>1.1273384332513008E-2</v>
      </c>
      <c r="K35" s="22">
        <f t="shared" si="5"/>
        <v>1.5010829560124976E-2</v>
      </c>
      <c r="L35" s="22">
        <f t="shared" si="5"/>
        <v>1.6421131627155354E-2</v>
      </c>
      <c r="M35" s="22">
        <f t="shared" si="5"/>
        <v>-1.4845807324330773E-2</v>
      </c>
      <c r="N35" s="22">
        <f t="shared" si="5"/>
        <v>-1.2333871918813036E-2</v>
      </c>
      <c r="O35" s="22">
        <f t="shared" si="5"/>
        <v>2.5048620216957092E-4</v>
      </c>
      <c r="P35" s="22">
        <f t="shared" si="5"/>
        <v>1.7700553092129989E-4</v>
      </c>
      <c r="Q35" s="22">
        <f t="shared" si="5"/>
        <v>1.2551745089872269E-4</v>
      </c>
      <c r="R35" s="22">
        <f t="shared" si="5"/>
        <v>6.4293586654950085E-5</v>
      </c>
      <c r="S35" s="22">
        <f t="shared" si="5"/>
        <v>1.932154533951021E-5</v>
      </c>
      <c r="T35" s="22">
        <f t="shared" si="5"/>
        <v>1.0643998959664797E-5</v>
      </c>
      <c r="U35" s="22">
        <f t="shared" si="5"/>
        <v>0</v>
      </c>
      <c r="V35" s="22">
        <f t="shared" si="5"/>
        <v>0</v>
      </c>
      <c r="W35" s="22">
        <f t="shared" si="5"/>
        <v>0</v>
      </c>
      <c r="X35" s="22">
        <f t="shared" si="5"/>
        <v>0</v>
      </c>
      <c r="Y35" s="22">
        <f t="shared" si="5"/>
        <v>0</v>
      </c>
      <c r="Z35" s="22">
        <f t="shared" si="5"/>
        <v>0</v>
      </c>
      <c r="AA35" s="22">
        <f t="shared" si="5"/>
        <v>0</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7"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7"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7"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7"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7"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7"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7"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7" ht="19" x14ac:dyDescent="0.25">
      <c r="A46" s="5" t="s">
        <v>38</v>
      </c>
      <c r="B46" s="1" t="s">
        <v>92</v>
      </c>
      <c r="C46" s="1" t="s">
        <v>92</v>
      </c>
      <c r="D46" s="1" t="s">
        <v>92</v>
      </c>
      <c r="E46" s="1" t="s">
        <v>92</v>
      </c>
      <c r="F46" s="1" t="s">
        <v>92</v>
      </c>
      <c r="G46" s="1" t="s">
        <v>92</v>
      </c>
      <c r="H46" s="1" t="s">
        <v>92</v>
      </c>
      <c r="I46" s="1" t="s">
        <v>92</v>
      </c>
      <c r="J46" s="1" t="s">
        <v>92</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7" ht="19" x14ac:dyDescent="0.25">
      <c r="A47" s="5" t="s">
        <v>39</v>
      </c>
      <c r="B47" s="1" t="s">
        <v>92</v>
      </c>
      <c r="C47" s="1" t="s">
        <v>92</v>
      </c>
      <c r="D47" s="1" t="s">
        <v>92</v>
      </c>
      <c r="E47" s="1" t="s">
        <v>92</v>
      </c>
      <c r="F47" s="1" t="s">
        <v>92</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7" ht="19" x14ac:dyDescent="0.25">
      <c r="A48" s="5" t="s">
        <v>40</v>
      </c>
      <c r="B48" s="1" t="s">
        <v>92</v>
      </c>
      <c r="C48" s="1" t="s">
        <v>92</v>
      </c>
      <c r="D48" s="1" t="s">
        <v>92</v>
      </c>
      <c r="E48" s="1" t="s">
        <v>92</v>
      </c>
      <c r="F48" s="1" t="s">
        <v>92</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92</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789100000</v>
      </c>
      <c r="P62" s="1" t="s">
        <v>92</v>
      </c>
      <c r="Q62" s="1">
        <v>203900000</v>
      </c>
      <c r="R62" s="1">
        <v>151700000</v>
      </c>
      <c r="S62" s="1">
        <v>25538500000</v>
      </c>
      <c r="T62" s="1">
        <v>21564800000</v>
      </c>
      <c r="U62" s="1">
        <v>14670400000</v>
      </c>
      <c r="V62" s="1">
        <v>7586800000</v>
      </c>
      <c r="W62" s="1">
        <v>3353300000</v>
      </c>
      <c r="X62" s="1">
        <v>176900000</v>
      </c>
      <c r="Y62" s="1">
        <v>265600000</v>
      </c>
      <c r="Z62" s="1" t="s">
        <v>92</v>
      </c>
      <c r="AA62" s="1" t="s">
        <v>92</v>
      </c>
    </row>
    <row r="63" spans="1:2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92</v>
      </c>
      <c r="S70" s="1" t="s">
        <v>92</v>
      </c>
      <c r="T70" s="1" t="s">
        <v>92</v>
      </c>
      <c r="U70" s="1" t="s">
        <v>92</v>
      </c>
      <c r="V70" s="1" t="s">
        <v>92</v>
      </c>
      <c r="W70" s="1" t="s">
        <v>92</v>
      </c>
      <c r="X70" s="1">
        <v>321822000000</v>
      </c>
      <c r="Y70" s="1" t="s">
        <v>92</v>
      </c>
      <c r="Z70" s="1">
        <v>370451000000</v>
      </c>
      <c r="AA70" s="1" t="s">
        <v>92</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92</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92</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6200000</v>
      </c>
      <c r="R79" s="1">
        <v>5300000</v>
      </c>
      <c r="S79" s="1" t="s">
        <v>92</v>
      </c>
      <c r="T79" s="1" t="s">
        <v>92</v>
      </c>
      <c r="U79" s="1" t="s">
        <v>92</v>
      </c>
      <c r="V79" s="1" t="s">
        <v>92</v>
      </c>
      <c r="W79" s="1" t="s">
        <v>92</v>
      </c>
      <c r="X79" s="1">
        <v>2800000</v>
      </c>
      <c r="Y79" s="1">
        <v>6600000</v>
      </c>
      <c r="Z79" s="1">
        <v>7800000</v>
      </c>
      <c r="AA79" s="1">
        <v>302348000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1.2247552267417007E-5</v>
      </c>
      <c r="R80" s="15">
        <f t="shared" si="6"/>
        <v>8.8776728704849702E-6</v>
      </c>
      <c r="S80" s="15" t="e">
        <f t="shared" si="6"/>
        <v>#VALUE!</v>
      </c>
      <c r="T80" s="15" t="e">
        <f t="shared" si="6"/>
        <v>#VALUE!</v>
      </c>
      <c r="U80" s="15" t="e">
        <f t="shared" si="6"/>
        <v>#VALUE!</v>
      </c>
      <c r="V80" s="15" t="e">
        <f t="shared" si="6"/>
        <v>#VALUE!</v>
      </c>
      <c r="W80" s="15" t="e">
        <f t="shared" si="6"/>
        <v>#VALUE!</v>
      </c>
      <c r="X80" s="15">
        <f t="shared" si="6"/>
        <v>2.6168498212317735E-6</v>
      </c>
      <c r="Y80" s="15">
        <f t="shared" si="6"/>
        <v>4.9281737345513891E-6</v>
      </c>
      <c r="Z80" s="15">
        <f t="shared" si="6"/>
        <v>4.9136489197846811E-6</v>
      </c>
      <c r="AA80" s="15">
        <f t="shared" si="6"/>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92</v>
      </c>
      <c r="AA82" s="1" t="s">
        <v>92</v>
      </c>
    </row>
    <row r="83" spans="1:35" ht="21"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c r="AH83" s="68" t="s">
        <v>126</v>
      </c>
      <c r="AI83" s="69"/>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H84" s="70" t="s">
        <v>127</v>
      </c>
      <c r="AI84" s="71"/>
    </row>
    <row r="85" spans="1:35" ht="20" x14ac:dyDescent="0.25">
      <c r="A85" s="5" t="s">
        <v>71</v>
      </c>
      <c r="B85" s="1" t="s">
        <v>92</v>
      </c>
      <c r="C85" s="1" t="s">
        <v>92</v>
      </c>
      <c r="D85" s="1" t="s">
        <v>92</v>
      </c>
      <c r="E85" s="1" t="s">
        <v>92</v>
      </c>
      <c r="F85" s="1" t="s">
        <v>92</v>
      </c>
      <c r="G85" s="1" t="s">
        <v>92</v>
      </c>
      <c r="H85" s="1" t="s">
        <v>92</v>
      </c>
      <c r="I85" s="1" t="s">
        <v>92</v>
      </c>
      <c r="J85" s="1" t="s">
        <v>92</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H85" s="23" t="s">
        <v>128</v>
      </c>
      <c r="AI85" s="24">
        <f>AA17</f>
        <v>11749984000</v>
      </c>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H86" s="23" t="s">
        <v>129</v>
      </c>
      <c r="AI86" s="24">
        <f>AA56</f>
        <v>19313889000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H87" s="23" t="s">
        <v>130</v>
      </c>
      <c r="AI87" s="24">
        <f>AA61</f>
        <v>868860583000</v>
      </c>
    </row>
    <row r="88" spans="1:35" ht="20" x14ac:dyDescent="0.25">
      <c r="A88" s="5" t="s">
        <v>74</v>
      </c>
      <c r="B88" s="1">
        <v>-28101494490</v>
      </c>
      <c r="C88" s="1">
        <v>-34594625338</v>
      </c>
      <c r="D88" s="1">
        <v>-29845997160</v>
      </c>
      <c r="E88" s="1">
        <v>-103761911814</v>
      </c>
      <c r="F88" s="1">
        <v>-68002457345</v>
      </c>
      <c r="G88" s="1">
        <v>-55331549901</v>
      </c>
      <c r="H88" s="1" t="s">
        <v>92</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H88" s="33" t="s">
        <v>131</v>
      </c>
      <c r="AI88" s="34">
        <f>AI85/(AI86+AI87)</f>
        <v>1.3229364691760698E-2</v>
      </c>
    </row>
    <row r="89" spans="1:35" ht="20" customHeight="1" x14ac:dyDescent="0.25">
      <c r="A89" s="14" t="s">
        <v>105</v>
      </c>
      <c r="B89" s="15">
        <f t="shared" ref="B89:AA89" si="7">(-1*B88)/B3</f>
        <v>0.63790091269326898</v>
      </c>
      <c r="C89" s="15">
        <f t="shared" si="7"/>
        <v>0.68723199999999995</v>
      </c>
      <c r="D89" s="15">
        <f t="shared" si="7"/>
        <v>0.40842458153645816</v>
      </c>
      <c r="E89" s="15">
        <f t="shared" si="7"/>
        <v>0.6243285739816512</v>
      </c>
      <c r="F89" s="15">
        <f t="shared" si="7"/>
        <v>0.52226263053996025</v>
      </c>
      <c r="G89" s="15">
        <f t="shared" si="7"/>
        <v>0.34032700258264198</v>
      </c>
      <c r="H89" s="15" t="e">
        <f t="shared" si="7"/>
        <v>#VALUE!</v>
      </c>
      <c r="I89" s="15">
        <f t="shared" si="7"/>
        <v>0.31532972440944884</v>
      </c>
      <c r="J89" s="15">
        <f t="shared" si="7"/>
        <v>0.29965919808477887</v>
      </c>
      <c r="K89" s="15">
        <f t="shared" si="7"/>
        <v>0.24806456249871656</v>
      </c>
      <c r="L89" s="15">
        <f t="shared" si="7"/>
        <v>0.26036085842086748</v>
      </c>
      <c r="M89" s="15">
        <f t="shared" si="7"/>
        <v>0.17776510383889238</v>
      </c>
      <c r="N89" s="15">
        <f t="shared" si="7"/>
        <v>0.29682913023572555</v>
      </c>
      <c r="O89" s="15">
        <f t="shared" si="7"/>
        <v>0.44559549923856701</v>
      </c>
      <c r="P89" s="15">
        <f t="shared" si="7"/>
        <v>0.50098857218052051</v>
      </c>
      <c r="Q89" s="15">
        <f t="shared" si="7"/>
        <v>0.48622268894614951</v>
      </c>
      <c r="R89" s="15">
        <f t="shared" si="7"/>
        <v>0.4817306705004813</v>
      </c>
      <c r="S89" s="15">
        <f t="shared" si="7"/>
        <v>0.37824693413385596</v>
      </c>
      <c r="T89" s="15">
        <f t="shared" si="7"/>
        <v>0.30529103006772279</v>
      </c>
      <c r="U89" s="15">
        <f t="shared" si="7"/>
        <v>0.34692204696399193</v>
      </c>
      <c r="V89" s="15">
        <f t="shared" si="7"/>
        <v>0.33905612462563017</v>
      </c>
      <c r="W89" s="15">
        <f t="shared" si="7"/>
        <v>0.30598563956896602</v>
      </c>
      <c r="X89" s="15">
        <f t="shared" si="7"/>
        <v>0.43030562562897856</v>
      </c>
      <c r="Y89" s="15">
        <f t="shared" si="7"/>
        <v>0.38225611046874775</v>
      </c>
      <c r="Z89" s="15">
        <f t="shared" si="7"/>
        <v>0.52941146455085786</v>
      </c>
      <c r="AA89" s="15">
        <f t="shared" si="7"/>
        <v>0.47823503444086751</v>
      </c>
      <c r="AH89" s="23" t="s">
        <v>106</v>
      </c>
      <c r="AI89" s="24">
        <f>AA27</f>
        <v>127290203000</v>
      </c>
    </row>
    <row r="90" spans="1:35" ht="20" x14ac:dyDescent="0.25">
      <c r="A90" s="5" t="s">
        <v>75</v>
      </c>
      <c r="B90" s="1" t="s">
        <v>92</v>
      </c>
      <c r="C90" s="1" t="s">
        <v>92</v>
      </c>
      <c r="D90" s="1" t="s">
        <v>92</v>
      </c>
      <c r="E90" s="1" t="s">
        <v>92</v>
      </c>
      <c r="F90" s="1" t="s">
        <v>92</v>
      </c>
      <c r="G90" s="1" t="s">
        <v>92</v>
      </c>
      <c r="H90" s="1">
        <v>-37792872180</v>
      </c>
      <c r="I90" s="1" t="s">
        <v>92</v>
      </c>
      <c r="J90" s="1" t="s">
        <v>92</v>
      </c>
      <c r="K90" s="1" t="s">
        <v>92</v>
      </c>
      <c r="L90" s="1" t="s">
        <v>92</v>
      </c>
      <c r="M90" s="1" t="s">
        <v>92</v>
      </c>
      <c r="N90" s="1" t="s">
        <v>92</v>
      </c>
      <c r="O90" s="1">
        <v>-6242400000</v>
      </c>
      <c r="P90" s="1" t="s">
        <v>92</v>
      </c>
      <c r="Q90" s="1" t="s">
        <v>92</v>
      </c>
      <c r="R90" s="1">
        <v>-979900000</v>
      </c>
      <c r="S90" s="1" t="s">
        <v>92</v>
      </c>
      <c r="T90" s="1">
        <v>549400000</v>
      </c>
      <c r="U90" s="1" t="s">
        <v>92</v>
      </c>
      <c r="V90" s="1">
        <v>-4100000</v>
      </c>
      <c r="W90" s="1" t="s">
        <v>92</v>
      </c>
      <c r="X90" s="1" t="s">
        <v>92</v>
      </c>
      <c r="Y90" s="1" t="s">
        <v>92</v>
      </c>
      <c r="Z90" s="1" t="s">
        <v>92</v>
      </c>
      <c r="AA90" s="1" t="s">
        <v>92</v>
      </c>
      <c r="AH90" s="23" t="s">
        <v>19</v>
      </c>
      <c r="AI90" s="24">
        <f>AA25</f>
        <v>1144190718000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H91" s="33" t="s">
        <v>132</v>
      </c>
      <c r="AI91" s="34">
        <f>AI89/AI90</f>
        <v>0.11124911345417854</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H92" s="35" t="s">
        <v>133</v>
      </c>
      <c r="AI92" s="36">
        <f>AI88*(1-AI91)</f>
        <v>1.1757609598240308E-2</v>
      </c>
    </row>
    <row r="93" spans="1:35" ht="19"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H93" s="70" t="s">
        <v>134</v>
      </c>
      <c r="AI93" s="71"/>
    </row>
    <row r="94" spans="1:35" ht="20"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H94" s="23" t="s">
        <v>135</v>
      </c>
      <c r="AI94" s="65">
        <f>[1]Treasuries!$C$8</f>
        <v>3.7229999999999999E-2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H95" s="38" t="s">
        <v>136</v>
      </c>
      <c r="AI95" s="39" cm="1">
        <f t="array" ref="AI95">_FV(A1,"Beta")</f>
        <v>1.3668</v>
      </c>
    </row>
    <row r="96" spans="1:35" ht="20" x14ac:dyDescent="0.25">
      <c r="A96" s="5" t="s">
        <v>81</v>
      </c>
      <c r="B96" s="1" t="s">
        <v>92</v>
      </c>
      <c r="C96" s="1" t="s">
        <v>92</v>
      </c>
      <c r="D96" s="1" t="s">
        <v>92</v>
      </c>
      <c r="E96" s="1">
        <v>39204533131</v>
      </c>
      <c r="F96" s="1" t="s">
        <v>92</v>
      </c>
      <c r="G96" s="1" t="s">
        <v>92</v>
      </c>
      <c r="H96" s="1" t="s">
        <v>92</v>
      </c>
      <c r="I96" s="1" t="s">
        <v>92</v>
      </c>
      <c r="J96" s="1">
        <v>1173895845</v>
      </c>
      <c r="K96" s="1">
        <v>573495472</v>
      </c>
      <c r="L96" s="1">
        <v>437828355</v>
      </c>
      <c r="M96" s="1">
        <v>226660515</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H96" s="23" t="s">
        <v>137</v>
      </c>
      <c r="AI96" s="37">
        <v>8.4000000000000005E-2</v>
      </c>
    </row>
    <row r="97" spans="1:36" ht="20" x14ac:dyDescent="0.25">
      <c r="A97" s="5" t="s">
        <v>82</v>
      </c>
      <c r="B97" s="1" t="s">
        <v>92</v>
      </c>
      <c r="C97" s="1" t="s">
        <v>92</v>
      </c>
      <c r="D97" s="1" t="s">
        <v>92</v>
      </c>
      <c r="E97" s="1" t="s">
        <v>92</v>
      </c>
      <c r="F97" s="1" t="s">
        <v>92</v>
      </c>
      <c r="G97" s="1" t="s">
        <v>92</v>
      </c>
      <c r="H97" s="1">
        <v>-12971138520</v>
      </c>
      <c r="I97" s="1">
        <v>-7068145560</v>
      </c>
      <c r="J97" s="1" t="s">
        <v>92</v>
      </c>
      <c r="K97" s="1" t="s">
        <v>92</v>
      </c>
      <c r="L97" s="1">
        <v>-45417394692</v>
      </c>
      <c r="M97" s="1">
        <v>-33572035700</v>
      </c>
      <c r="N97" s="1" t="s">
        <v>92</v>
      </c>
      <c r="O97" s="1" t="s">
        <v>92</v>
      </c>
      <c r="P97" s="1">
        <v>-71600000</v>
      </c>
      <c r="Q97" s="1" t="s">
        <v>92</v>
      </c>
      <c r="R97" s="1" t="s">
        <v>92</v>
      </c>
      <c r="S97" s="1" t="s">
        <v>92</v>
      </c>
      <c r="T97" s="1" t="s">
        <v>92</v>
      </c>
      <c r="U97" s="1" t="s">
        <v>92</v>
      </c>
      <c r="V97" s="1" t="s">
        <v>92</v>
      </c>
      <c r="W97" s="1" t="s">
        <v>92</v>
      </c>
      <c r="X97" s="1" t="s">
        <v>92</v>
      </c>
      <c r="Y97" s="1" t="s">
        <v>92</v>
      </c>
      <c r="Z97" s="1" t="s">
        <v>92</v>
      </c>
      <c r="AA97" s="1">
        <v>-871566000</v>
      </c>
      <c r="AH97" s="35" t="s">
        <v>138</v>
      </c>
      <c r="AI97" s="36">
        <f>(AI94)+((AI95)*(AI96-AI94))</f>
        <v>0.10115523600000001</v>
      </c>
    </row>
    <row r="98" spans="1:36" ht="19" x14ac:dyDescent="0.25">
      <c r="A98" s="5" t="s">
        <v>83</v>
      </c>
      <c r="B98" s="1" t="s">
        <v>92</v>
      </c>
      <c r="C98" s="1" t="s">
        <v>92</v>
      </c>
      <c r="D98" s="1" t="s">
        <v>92</v>
      </c>
      <c r="E98" s="1" t="s">
        <v>92</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H98" s="70" t="s">
        <v>139</v>
      </c>
      <c r="AI98" s="71"/>
      <c r="AJ98" t="e" vm="2">
        <v>#VALUE!</v>
      </c>
    </row>
    <row r="99" spans="1:36" ht="20"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H99" s="23" t="s">
        <v>140</v>
      </c>
      <c r="AI99" s="24">
        <f>AI86+AI87</f>
        <v>888174472000</v>
      </c>
      <c r="AJ99" s="62" t="s">
        <v>157</v>
      </c>
    </row>
    <row r="100" spans="1:36"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H100" s="33" t="s">
        <v>141</v>
      </c>
      <c r="AI100" s="34">
        <f>AI99/AI103</f>
        <v>5.5668500382361708E-2</v>
      </c>
      <c r="AJ100" s="60">
        <v>3.3000000000000002E-2</v>
      </c>
    </row>
    <row r="101" spans="1:36" ht="20" x14ac:dyDescent="0.25">
      <c r="A101" s="5" t="s">
        <v>86</v>
      </c>
      <c r="B101" s="1" t="s">
        <v>92</v>
      </c>
      <c r="C101" s="1">
        <v>-657227004</v>
      </c>
      <c r="D101" s="1" t="s">
        <v>92</v>
      </c>
      <c r="E101" s="1">
        <v>118576149</v>
      </c>
      <c r="F101" s="1" t="s">
        <v>92</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H101" s="38" t="s">
        <v>142</v>
      </c>
      <c r="AI101" s="40" cm="1">
        <f t="array" ref="AI101">_FV(A1,"Market cap",TRUE)</f>
        <v>15066530000000</v>
      </c>
      <c r="AJ101" s="62" t="s">
        <v>158</v>
      </c>
    </row>
    <row r="102" spans="1:36"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H102" s="33" t="s">
        <v>143</v>
      </c>
      <c r="AI102" s="59">
        <f>AI101/AI103</f>
        <v>0.94433149961763829</v>
      </c>
      <c r="AJ102" s="61">
        <f>AI101*AJ100</f>
        <v>497195490000</v>
      </c>
    </row>
    <row r="103" spans="1:36"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H103" s="35" t="s">
        <v>144</v>
      </c>
      <c r="AI103" s="41">
        <f>AI99+AI101</f>
        <v>15954704472000</v>
      </c>
    </row>
    <row r="104" spans="1:36" ht="20"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H104" s="70" t="s">
        <v>145</v>
      </c>
      <c r="AI104" s="71"/>
    </row>
    <row r="105" spans="1:36" ht="21" thickTop="1" x14ac:dyDescent="0.25">
      <c r="B105" s="1">
        <f t="shared" ref="B105:Z105" si="8">(B22*(1-$AI$91))+B77+B88+B81</f>
        <v>-10594400990.662193</v>
      </c>
      <c r="C105" s="1">
        <f t="shared" si="8"/>
        <v>-5083598385.9156761</v>
      </c>
      <c r="D105" s="1">
        <f t="shared" si="8"/>
        <v>5170992493.5488586</v>
      </c>
      <c r="E105" s="1">
        <f t="shared" si="8"/>
        <v>-22784906494.670135</v>
      </c>
      <c r="F105" s="1">
        <f t="shared" si="8"/>
        <v>-7247944526.3330536</v>
      </c>
      <c r="G105" s="1">
        <f t="shared" si="8"/>
        <v>41296755384.959106</v>
      </c>
      <c r="H105" s="1" t="e">
        <f t="shared" si="8"/>
        <v>#VALUE!</v>
      </c>
      <c r="I105" s="1">
        <f t="shared" si="8"/>
        <v>60917509142.183899</v>
      </c>
      <c r="J105" s="1">
        <f t="shared" si="8"/>
        <v>68341628778.374603</v>
      </c>
      <c r="K105" s="1">
        <f t="shared" si="8"/>
        <v>113723898324.59692</v>
      </c>
      <c r="L105" s="1">
        <f t="shared" si="8"/>
        <v>90975763762.5672</v>
      </c>
      <c r="M105" s="1">
        <f t="shared" si="8"/>
        <v>150885242435.73981</v>
      </c>
      <c r="N105" s="1">
        <f t="shared" si="8"/>
        <v>64132220153.438171</v>
      </c>
      <c r="O105" s="1">
        <f t="shared" si="8"/>
        <v>28416088991.197083</v>
      </c>
      <c r="P105" s="1">
        <f t="shared" si="8"/>
        <v>23454164747.12146</v>
      </c>
      <c r="Q105" s="1">
        <f t="shared" si="8"/>
        <v>33074247015.50415</v>
      </c>
      <c r="R105" s="1">
        <f t="shared" si="8"/>
        <v>48927121110.705505</v>
      </c>
      <c r="S105" s="1">
        <f t="shared" si="8"/>
        <v>125016591427.57812</v>
      </c>
      <c r="T105" s="1">
        <f t="shared" si="8"/>
        <v>272656565987.03973</v>
      </c>
      <c r="U105" s="1">
        <f t="shared" si="8"/>
        <v>215828229826.9082</v>
      </c>
      <c r="V105" s="1">
        <f t="shared" si="8"/>
        <v>281379480815.89771</v>
      </c>
      <c r="W105" s="1">
        <f t="shared" si="8"/>
        <v>256245325724.81091</v>
      </c>
      <c r="X105" s="1">
        <f t="shared" si="8"/>
        <v>168522533041.60278</v>
      </c>
      <c r="Y105" s="1">
        <f t="shared" si="8"/>
        <v>295185515854.72095</v>
      </c>
      <c r="Z105" s="1">
        <f t="shared" si="8"/>
        <v>292136601112.85095</v>
      </c>
      <c r="AA105" s="1">
        <f>(AA22*(1-$AI$91))+AA77+AA88+AA81</f>
        <v>473628314891.33008</v>
      </c>
      <c r="AB105" s="42">
        <f>AA105*(1+$AI$106)</f>
        <v>520054075232.27551</v>
      </c>
      <c r="AC105" s="42">
        <f t="shared" ref="AC105:AF105" si="9">AB105*(1+$AI$106)</f>
        <v>571030558482.87097</v>
      </c>
      <c r="AD105" s="42">
        <f t="shared" si="9"/>
        <v>627003833352.56409</v>
      </c>
      <c r="AE105" s="42">
        <f t="shared" si="9"/>
        <v>688463692877.13464</v>
      </c>
      <c r="AF105" s="42">
        <f t="shared" si="9"/>
        <v>755947940342.97632</v>
      </c>
      <c r="AG105" s="43" t="s">
        <v>161</v>
      </c>
      <c r="AH105" s="25" t="s">
        <v>108</v>
      </c>
      <c r="AI105" s="26">
        <f>(AI100*AI92)+(AI102*AI97)</f>
        <v>9.6178604200471418E-2</v>
      </c>
    </row>
    <row r="106" spans="1:36" ht="19" x14ac:dyDescent="0.25">
      <c r="A106" s="14" t="s">
        <v>107</v>
      </c>
      <c r="B106" s="1"/>
      <c r="C106" s="15">
        <f t="shared" ref="C106:AA106" si="10">(C107/B107)-1</f>
        <v>-0.66023844690773537</v>
      </c>
      <c r="D106" s="15">
        <f t="shared" si="10"/>
        <v>-4.716021352464761</v>
      </c>
      <c r="E106" s="15">
        <f t="shared" si="10"/>
        <v>-2.0633066879522239</v>
      </c>
      <c r="F106" s="15">
        <f t="shared" si="10"/>
        <v>-1.3540175301892403</v>
      </c>
      <c r="G106" s="15">
        <f t="shared" si="10"/>
        <v>10.830968261796651</v>
      </c>
      <c r="H106" s="15">
        <f t="shared" si="10"/>
        <v>1.6720148824889343</v>
      </c>
      <c r="I106" s="15">
        <f t="shared" si="10"/>
        <v>-0.37688644544148509</v>
      </c>
      <c r="J106" s="15">
        <f t="shared" si="10"/>
        <v>7.1969148897544022E-2</v>
      </c>
      <c r="K106" s="15">
        <f t="shared" si="10"/>
        <v>0.63174925618738054</v>
      </c>
      <c r="L106" s="15">
        <f t="shared" si="10"/>
        <v>-0.20966073965313869</v>
      </c>
      <c r="M106" s="15">
        <f t="shared" si="10"/>
        <v>0.63082925717436633</v>
      </c>
      <c r="N106" s="15">
        <f t="shared" si="10"/>
        <v>-0.55638676946104537</v>
      </c>
      <c r="O106" s="15">
        <f t="shared" si="10"/>
        <v>-0.41076868726751314</v>
      </c>
      <c r="P106" s="15">
        <f t="shared" si="10"/>
        <v>-0.20942311128666691</v>
      </c>
      <c r="Q106" s="15">
        <f t="shared" si="10"/>
        <v>0.27664054484081557</v>
      </c>
      <c r="R106" s="15">
        <f t="shared" si="10"/>
        <v>0.32874641246412462</v>
      </c>
      <c r="S106" s="15">
        <f t="shared" si="10"/>
        <v>1.2638157168078292</v>
      </c>
      <c r="T106" s="15">
        <f t="shared" si="10"/>
        <v>1.0761305781565347</v>
      </c>
      <c r="U106" s="15">
        <f t="shared" si="10"/>
        <v>-0.2288051978765937</v>
      </c>
      <c r="V106" s="15">
        <f t="shared" si="10"/>
        <v>0.20648454176217679</v>
      </c>
      <c r="W106" s="15">
        <f t="shared" si="10"/>
        <v>7.3864499696707497E-3</v>
      </c>
      <c r="X106" s="15">
        <f t="shared" si="10"/>
        <v>-0.4213977596398486</v>
      </c>
      <c r="Y106" s="15">
        <f t="shared" si="10"/>
        <v>1.0716606619867304</v>
      </c>
      <c r="Z106" s="15">
        <f t="shared" si="10"/>
        <v>-0.12771733085606274</v>
      </c>
      <c r="AA106" s="15">
        <f t="shared" si="10"/>
        <v>0.98296363145700649</v>
      </c>
      <c r="AB106" s="63">
        <v>390447000000</v>
      </c>
      <c r="AC106" s="63">
        <v>737351000000</v>
      </c>
      <c r="AD106" s="63">
        <v>930079000000</v>
      </c>
      <c r="AE106" s="63">
        <v>811055000000</v>
      </c>
      <c r="AF106" s="63">
        <v>987401000000</v>
      </c>
      <c r="AG106" s="43" t="s">
        <v>162</v>
      </c>
      <c r="AH106" s="44" t="s">
        <v>146</v>
      </c>
      <c r="AI106" s="45">
        <f>(SUM(AB4:AF4)/5)</f>
        <v>9.8021505221024291E-2</v>
      </c>
    </row>
    <row r="107" spans="1:36" ht="19" x14ac:dyDescent="0.25">
      <c r="A107" s="5" t="s">
        <v>90</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43"/>
      <c r="AC107" s="43"/>
      <c r="AD107" s="43"/>
      <c r="AE107" s="43"/>
      <c r="AF107" s="64">
        <f>AF106*(1+AI107)/(AI108-AI107)</f>
        <v>14218964200948.699</v>
      </c>
      <c r="AG107" s="46" t="s">
        <v>147</v>
      </c>
      <c r="AH107" s="47" t="s">
        <v>148</v>
      </c>
      <c r="AI107" s="48">
        <v>2.5000000000000001E-2</v>
      </c>
    </row>
    <row r="108" spans="1:36" ht="19" x14ac:dyDescent="0.25">
      <c r="AB108" s="64">
        <f t="shared" ref="AB108:AD108" si="11">AB107+AB106</f>
        <v>390447000000</v>
      </c>
      <c r="AC108" s="64">
        <f t="shared" si="11"/>
        <v>737351000000</v>
      </c>
      <c r="AD108" s="64">
        <f t="shared" si="11"/>
        <v>930079000000</v>
      </c>
      <c r="AE108" s="64">
        <f>AE107+AE106</f>
        <v>811055000000</v>
      </c>
      <c r="AF108" s="64">
        <f>AF107+AF106</f>
        <v>15206365200948.699</v>
      </c>
      <c r="AG108" s="46" t="s">
        <v>144</v>
      </c>
      <c r="AH108" s="49" t="s">
        <v>149</v>
      </c>
      <c r="AI108" s="50">
        <f>AI105</f>
        <v>9.6178604200471418E-2</v>
      </c>
    </row>
    <row r="109" spans="1:36" ht="19" x14ac:dyDescent="0.25">
      <c r="AB109" s="66" t="s">
        <v>150</v>
      </c>
      <c r="AC109" s="67"/>
    </row>
    <row r="110" spans="1:36" ht="20" x14ac:dyDescent="0.25">
      <c r="AB110" s="51" t="s">
        <v>151</v>
      </c>
      <c r="AC110" s="40">
        <f>NPV(AI108,AB108,AC108,AD108,AE108,AF108)</f>
        <v>11845354933176.092</v>
      </c>
    </row>
    <row r="111" spans="1:36" ht="20" x14ac:dyDescent="0.25">
      <c r="AB111" s="51" t="s">
        <v>152</v>
      </c>
      <c r="AC111" s="40">
        <f>AA40</f>
        <v>1586500125000</v>
      </c>
    </row>
    <row r="112" spans="1:36" ht="20" x14ac:dyDescent="0.25">
      <c r="AB112" s="51" t="s">
        <v>140</v>
      </c>
      <c r="AC112" s="40">
        <f>AI99</f>
        <v>888174472000</v>
      </c>
    </row>
    <row r="113" spans="28:29" ht="20" x14ac:dyDescent="0.25">
      <c r="AB113" s="51" t="s">
        <v>153</v>
      </c>
      <c r="AC113" s="40">
        <f>AC110+AC111-AC112</f>
        <v>12543680586176.092</v>
      </c>
    </row>
    <row r="114" spans="28:29" ht="20" x14ac:dyDescent="0.25">
      <c r="AB114" s="51" t="s">
        <v>154</v>
      </c>
      <c r="AC114" s="52">
        <f>AA34*(1+(5*AG16))</f>
        <v>5186076000</v>
      </c>
    </row>
    <row r="115" spans="28:29" ht="20" x14ac:dyDescent="0.25">
      <c r="AB115" s="53" t="s">
        <v>160</v>
      </c>
      <c r="AC115" s="54">
        <f>AC113/AC114*AJ100</f>
        <v>79.817854451768753</v>
      </c>
    </row>
    <row r="116" spans="28:29" ht="20" x14ac:dyDescent="0.25">
      <c r="AB116" s="51" t="s">
        <v>159</v>
      </c>
      <c r="AC116" s="55" cm="1">
        <f t="array" ref="AC116">_FV(AJ98,"Price")</f>
        <v>103.13</v>
      </c>
    </row>
    <row r="117" spans="28:29" ht="20" x14ac:dyDescent="0.25">
      <c r="AB117" s="56" t="s">
        <v>155</v>
      </c>
      <c r="AC117" s="57">
        <f>AC115/AC116-1</f>
        <v>-0.22604620913634488</v>
      </c>
    </row>
    <row r="118" spans="28:29" ht="20" x14ac:dyDescent="0.25">
      <c r="AB118" s="56" t="s">
        <v>156</v>
      </c>
      <c r="AC118" s="58" t="str">
        <f>IF(AC115&gt;AC116,"BUY","SELL")</f>
        <v>SELL</v>
      </c>
    </row>
  </sheetData>
  <mergeCells count="6">
    <mergeCell ref="AB109:AC109"/>
    <mergeCell ref="AH83:AI83"/>
    <mergeCell ref="AH84:AI84"/>
    <mergeCell ref="AH93:AI93"/>
    <mergeCell ref="AH98:AI98"/>
    <mergeCell ref="AH104:AI10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6"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2023-03-14T06:02:17Z</dcterms:created>
  <dcterms:modified xsi:type="dcterms:W3CDTF">2023-06-23T11:31:27Z</dcterms:modified>
</cp:coreProperties>
</file>