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12D81E1-84E6-F74D-9CC8-68EB7C2B6BB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4" i="1" l="1"/>
  <c r="I108" i="1"/>
  <c r="J108" i="1"/>
  <c r="K108" i="1"/>
  <c r="L108" i="1"/>
  <c r="J105" i="1"/>
  <c r="K105" i="1" s="1"/>
  <c r="L105" i="1" s="1"/>
  <c r="M105" i="1" s="1"/>
  <c r="I105" i="1"/>
  <c r="B105" i="1"/>
  <c r="C105" i="1"/>
  <c r="D105" i="1"/>
  <c r="E105" i="1"/>
  <c r="F105" i="1"/>
  <c r="G105" i="1"/>
  <c r="H105" i="1"/>
  <c r="J111" i="1"/>
  <c r="P90" i="1"/>
  <c r="P89" i="1"/>
  <c r="P87" i="1"/>
  <c r="P85" i="1"/>
  <c r="P86" i="1"/>
  <c r="N19" i="1"/>
  <c r="J30" i="1"/>
  <c r="K30" i="1"/>
  <c r="L30" i="1"/>
  <c r="M30" i="1"/>
  <c r="I30" i="1"/>
  <c r="J21" i="1"/>
  <c r="K21" i="1"/>
  <c r="L21" i="1"/>
  <c r="M21" i="1"/>
  <c r="I21" i="1"/>
  <c r="I29" i="1"/>
  <c r="J29" i="1"/>
  <c r="K29" i="1"/>
  <c r="L29" i="1"/>
  <c r="M29" i="1"/>
  <c r="I20" i="1"/>
  <c r="J20" i="1"/>
  <c r="K20" i="1"/>
  <c r="L20" i="1"/>
  <c r="M20" i="1"/>
  <c r="N16" i="1"/>
  <c r="P13" i="1"/>
  <c r="O13" i="1"/>
  <c r="N13" i="1"/>
  <c r="Q10" i="1"/>
  <c r="P10" i="1"/>
  <c r="O10" i="1"/>
  <c r="N10" i="1"/>
  <c r="Q7" i="1"/>
  <c r="P7" i="1"/>
  <c r="O7" i="1"/>
  <c r="N7" i="1"/>
  <c r="P4" i="1"/>
  <c r="O4" i="1"/>
  <c r="N4" i="1"/>
  <c r="H106" i="1"/>
  <c r="H89" i="1"/>
  <c r="H80" i="1"/>
  <c r="H35" i="1"/>
  <c r="H29" i="1"/>
  <c r="H20" i="1"/>
  <c r="H13" i="1"/>
  <c r="H9" i="1"/>
  <c r="H4" i="1"/>
  <c r="J114" i="1"/>
  <c r="J116" i="1" a="1"/>
  <c r="J116" i="1" s="1"/>
  <c r="P101" i="1" a="1"/>
  <c r="P101" i="1" s="1"/>
  <c r="Q16" i="1" s="1"/>
  <c r="P95" i="1" a="1"/>
  <c r="P95" i="1" s="1"/>
  <c r="O19" i="1" l="1"/>
  <c r="P19" i="1"/>
  <c r="Q19" i="1"/>
  <c r="O16" i="1"/>
  <c r="P16" i="1"/>
  <c r="P97" i="1"/>
  <c r="P91" i="1"/>
  <c r="P99" i="1"/>
  <c r="J112" i="1" s="1"/>
  <c r="P88" i="1" l="1"/>
  <c r="P92" i="1" s="1"/>
  <c r="P103" i="1"/>
  <c r="P102" i="1" s="1"/>
  <c r="P100" i="1" l="1"/>
  <c r="P105" i="1" s="1"/>
  <c r="P108" i="1" s="1"/>
  <c r="M107" i="1" s="1"/>
  <c r="M108" i="1" s="1"/>
  <c r="Q13" i="1" l="1"/>
  <c r="M4" i="1" l="1"/>
  <c r="L4" i="1"/>
  <c r="K4" i="1"/>
  <c r="J4" i="1"/>
  <c r="I4" i="1"/>
  <c r="P106" i="1" s="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J110" i="1" l="1"/>
  <c r="J113" i="1" s="1"/>
  <c r="J115" i="1" s="1"/>
  <c r="J118" i="1" l="1"/>
  <c r="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<sst xmlns="http://schemas.openxmlformats.org/spreadsheetml/2006/main" count="332" uniqueCount="165">
  <si>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</si>
  <si>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</si>
  <si>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</si>
  <si>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</si>
  <si>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</si>
  <si>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</si>
  <si>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</si>
  <si>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</si>
  <si>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</si>
  <si>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</si>
  <si>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</si>
  <si>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</si>
  <si>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</si>
  <si>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</si>
  <si>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</si>
  <si>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</si>
  <si>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</si>
  <si>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</si>
  <si>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</si>
  <si>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</si>
  <si>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</si>
  <si>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</si>
  <si>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</si>
  <si>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</si>
  <si>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</si>
  <si>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</si>
  <si>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</si>
  <si>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</si>
  <si>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</si>
  <si>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</si>
  <si>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</si>
  <si>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</si>
  <si>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</si>
  <si>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</si>
  <si>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</si>
  <si>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</si>
  <si>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</si>
  <si>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</si>
  <si>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</si>
  <si>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</si>
  <si>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</si>
  <si>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</si>
  <si>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</si>
  <si>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</si>
  <si>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</si>
  <si>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</si>
  <si>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</si>
  <si>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</si>
  <si>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</si>
  <si>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</si>
  <si>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</si>
  <si>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</si>
  <si>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</si>
  <si>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</si>
  <si>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</si>
  <si>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</si>
  <si>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</si>
  <si>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</si>
  <si>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</si>
  <si>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</si>
  <si>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</si>
  <si>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</si>
  <si>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</si>
  <si>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</si>
  <si>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</si>
  <si>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</si>
  <si>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</si>
  <si>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</si>
  <si>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</si>
  <si>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</si>
  <si>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</si>
  <si>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</si>
  <si>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</si>
  <si>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</si>
  <si>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</si>
  <si>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</si>
  <si>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</si>
  <si>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</si>
  <si>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</si>
  <si>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</si>
  <si>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</si>
  <si>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</si>
  <si>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</si>
  <si>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</si>
  <si>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</si>
  <si>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</si>
  <si>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</si>
  <si>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</si>
  <si>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</si>
  <si>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</si>
  <si>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</si>
  <si>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</si>
  <si>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</si>
  <si>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</si>
  <si>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</si>
  <si>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</si>
  <si>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</si>
  <si>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</si>
  <si>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</si>
  <si>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</si>
  <si>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</si>
  <si>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</si>
  <si>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</si>
  <si>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</si>
  <si>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</si>
  <si>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</si>
  <si>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</si>
  <si>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</si>
  <si>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</si>
  <si>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</si>
  <si>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</si>
  <si>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</si>
  <si>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</si>
  <si>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</si>
  <si>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</si>
  <si>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</si>
  <si>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</si>
  <si>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</si>
  <si>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</si>
  <si>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</si>
  <si>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</si>
  <si>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</si>
  <si>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</si>
  <si>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</si>
  <si>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</si>
  <si>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</si>
  <si>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</si>
  <si>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</si>
  <si>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</si>
  <si>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</si>
  <si>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</si>
  <si>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</si>
  <si>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</si>
  <si>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</si>
  <si>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</si>
  <si>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</si>
  <si>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</si>
  <si>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</si>
  <si>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</si>
  <si>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</si>
  <si>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</si>
  <si>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</si>
  <si>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</si>
  <si>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</si>
  <si>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</si>
  <si>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</si>
  <si>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</si>
  <si>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</si>
  <si>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</si>
  <si>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</si>
  <si>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</si>
  <si>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</si>
  <si>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</si>
  <si>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</si>
  <si>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</si>
  <si>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</si>
  <si>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</si>
  <si>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Shares (5% dilution)</t>
  </si>
  <si>
    <t>Forward P/S</t>
  </si>
  <si>
    <t>Forward P/E</t>
  </si>
  <si>
    <t>Forward P/FCF</t>
  </si>
  <si>
    <t>Unlevered FCF</t>
  </si>
  <si>
    <t>Unlevered FCF Proj</t>
  </si>
  <si>
    <t>Unlevered FCF Forecast</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</si>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</sst>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0" fontId="0" fillId="0" borderId="0" xfId="0" applyAlignment="1">
      <alignment vertical="center"/>
    </xf>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37" fontId="1" fillId="0" borderId="0" xfId="0" applyNumberFormat="1" applyFont="1"/>
    <xf numFmtId="164" fontId="10" fillId="5" borderId="0" xfId="0" applyNumberFormat="1" applyFont="1" applyFill="1"/>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3" borderId="13" xfId="0" applyFont="1" applyFill="1" applyBorder="1" applyAlignment="1">
      <alignment horizontal="center" vertical="center" wrapText="1"/>
    </xf>
    <xf numFmtId="9" fontId="11" fillId="0" borderId="13" xfId="0" applyNumberFormat="1" applyFont="1" applyBorder="1" applyAlignment="1">
      <alignment horizontal="center"/>
    </xf>
    <xf numFmtId="0" fontId="12" fillId="7" borderId="6" xfId="0" applyFont="1" applyFill="1" applyBorder="1" applyAlignment="1">
      <alignment horizontal="center" vertical="center" wrapText="1"/>
    </xf>
    <xf numFmtId="0" fontId="12"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7" xfId="0" applyNumberFormat="1" applyFont="1" applyBorder="1" applyAlignment="1">
      <alignment horizontal="center"/>
    </xf>
    <xf numFmtId="169" fontId="11" fillId="0" borderId="14"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CRWD</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7087857847977E-2"/>
          <c:y val="0.14371731594775142"/>
          <c:w val="0.84732477788746308"/>
          <c:h val="0.707972957461949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52745000</c:v>
                </c:pt>
                <c:pt idx="1">
                  <c:v>118752000</c:v>
                </c:pt>
                <c:pt idx="2">
                  <c:v>249824000</c:v>
                </c:pt>
                <c:pt idx="3">
                  <c:v>481413000</c:v>
                </c:pt>
                <c:pt idx="4">
                  <c:v>874438000</c:v>
                </c:pt>
                <c:pt idx="5">
                  <c:v>1451594000</c:v>
                </c:pt>
              </c:numCache>
            </c:numRef>
          </c:val>
          <c:extLst>
            <c:ext xmlns:c16="http://schemas.microsoft.com/office/drawing/2014/chart" uri="{C3380CC4-5D6E-409C-BE32-E72D297353CC}">
              <c16:uniqueId val="{00000000-7650-5345-A780-6CBEB944320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-87617000</c:v>
                </c:pt>
                <c:pt idx="1">
                  <c:v>-125174000</c:v>
                </c:pt>
                <c:pt idx="2">
                  <c:v>-122884000</c:v>
                </c:pt>
                <c:pt idx="3">
                  <c:v>-115827000</c:v>
                </c:pt>
                <c:pt idx="4">
                  <c:v>-46167000</c:v>
                </c:pt>
                <c:pt idx="5">
                  <c:v>-116444000</c:v>
                </c:pt>
              </c:numCache>
            </c:numRef>
          </c:val>
          <c:extLst>
            <c:ext xmlns:c16="http://schemas.microsoft.com/office/drawing/2014/chart" uri="{C3380CC4-5D6E-409C-BE32-E72D297353CC}">
              <c16:uniqueId val="{00000001-7650-5345-A780-6CBEB944320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-64645000</c:v>
                </c:pt>
                <c:pt idx="1">
                  <c:v>-88521000</c:v>
                </c:pt>
                <c:pt idx="2">
                  <c:v>-65613000</c:v>
                </c:pt>
                <c:pt idx="3">
                  <c:v>12456000</c:v>
                </c:pt>
                <c:pt idx="4">
                  <c:v>292723000</c:v>
                </c:pt>
                <c:pt idx="5">
                  <c:v>441775000</c:v>
                </c:pt>
              </c:numCache>
            </c:numRef>
          </c:val>
          <c:extLst>
            <c:ext xmlns:c16="http://schemas.microsoft.com/office/drawing/2014/chart" uri="{C3380CC4-5D6E-409C-BE32-E72D297353CC}">
              <c16:uniqueId val="{00000002-7650-5345-A780-6CBEB9443200}"/>
            </c:ext>
          </c:extLst>
        </c:ser>
        <c:dLbls>
          <c:showLegendKey val="0"/>
          <c:showVal val="0"/>
          <c:showCatName val="0"/>
          <c:showSerName val="0"/>
          <c:showPercent val="0"/>
          <c:showBubbleSize val="0"/>
        </c:dLbls>
        <c:gapWidth val="100"/>
        <c:overlap val="-24"/>
        <c:axId val="662522159"/>
        <c:axId val="662578431"/>
      </c:barChart>
      <c:catAx>
        <c:axId val="662522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78431"/>
        <c:crosses val="autoZero"/>
        <c:auto val="1"/>
        <c:lblAlgn val="ctr"/>
        <c:lblOffset val="100"/>
        <c:noMultiLvlLbl val="0"/>
      </c:catAx>
      <c:valAx>
        <c:axId val="662578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22159"/>
        <c:crosses val="autoZero"/>
        <c:crossBetween val="between"/>
      </c:valAx>
      <c:spPr>
        <a:noFill/>
        <a:ln>
          <a:noFill/>
        </a:ln>
        <a:effectLst/>
      </c:spPr>
    </c:plotArea>
    <c:legend>
      <c:legendPos val="b"/>
      <c:layout>
        <c:manualLayout>
          <c:xMode val="edge"/>
          <c:yMode val="edge"/>
          <c:x val="0.27770542009001098"/>
          <c:y val="0.89942127132067684"/>
          <c:w val="0.4524864944695338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108</xdr:row>
      <xdr:rowOff>31750</xdr:rowOff>
    </xdr:from>
    <xdr:to>
      <xdr:col>16</xdr:col>
      <xdr:colOff>31750</xdr:colOff>
      <xdr:row>132</xdr:row>
      <xdr:rowOff>0</xdr:rowOff>
    </xdr:to>
    <xdr:graphicFrame macro="">
      <xdr:nvGraphicFramePr>
        <xdr:cNvPr id="3" name="Chart 2">
          <a:extLst>
            <a:ext uri="{FF2B5EF4-FFF2-40B4-BE49-F238E27FC236}">
              <a16:creationId xmlns:a16="http://schemas.microsoft.com/office/drawing/2014/main" id="{1ABD0EAE-ED45-31EC-6BD1-4EC35019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0.97670000000000001</v>
    <v>1.95</v>
    <v>1.3555999999999999E-2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146.93989999999999</v>
    <v>Software &amp; IT Services</v>
    <v>Stock</v>
    <v>45099.999987650001</v>
    <v>0</v>
    <v>141.5</v>
    <v>34570404720</v>
    <v>CROWDSTRIKE HOLDINGS, INC.</v>
    <v>CROWDSTRIKE HOLDINGS, INC.</v>
    <v>142.56</v>
    <v>143.85</v>
    <v>145.80000000000001</v>
    <v>237108400</v>
    <v>CRWD</v>
    <v>CROWDSTRIKE HOLDINGS, INC. (XNAS:CRWD)</v>
    <v>1532</v>
    <v>5023616</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E94" activePane="bottomRight" state="frozen"/>
      <selection pane="topRight"/>
      <selection pane="bottomLeft"/>
      <selection pane="bottomRight" activeCell="G120" sqref="G120"/>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2290000000</v>
      </c>
      <c r="J3" s="24">
        <v>2957000000</v>
      </c>
      <c r="K3" s="24">
        <v>3806000000</v>
      </c>
      <c r="L3" s="24">
        <v>4868000000</v>
      </c>
      <c r="M3" s="24">
        <v>6020000000</v>
      </c>
      <c r="N3" s="44" t="s">
        <v>109</v>
      </c>
      <c r="O3" s="44" t="s">
        <v>110</v>
      </c>
      <c r="P3" s="44"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(I3/G3)-1</f>
        <v>0.57757609910209062</v>
      </c>
      <c r="J4" s="16">
        <f t="shared" si="0"/>
        <v>0.29126637554585155</v>
      </c>
      <c r="K4" s="16">
        <f t="shared" si="0"/>
        <v>0.28711531958065617</v>
      </c>
      <c r="L4" s="16">
        <f t="shared" si="0"/>
        <v>0.27903310562270089</v>
      </c>
      <c r="M4" s="16">
        <f t="shared" si="0"/>
        <v>0.23664749383730488</v>
      </c>
      <c r="N4" s="45">
        <f>(G4+F4+H4)/3</f>
        <v>0.67347075956303415</v>
      </c>
      <c r="O4" s="45">
        <f>(G20+F20+H20)/3</f>
        <v>9.301753392992225E-2</v>
      </c>
      <c r="P4" s="45">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44" t="s">
        <v>113</v>
      </c>
      <c r="O6" s="44" t="s">
        <v>114</v>
      </c>
      <c r="P6" s="44" t="s">
        <v>115</v>
      </c>
      <c r="Q6" s="19"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45">
        <f>H7</f>
        <v>0.73170000000000002</v>
      </c>
      <c r="O7" s="45">
        <f>H21</f>
        <v>-1.8599999999999998E-2</v>
      </c>
      <c r="P7" s="45">
        <f>H30</f>
        <v>-8.1799999999999998E-2</v>
      </c>
      <c r="Q7" s="17">
        <f>H107/H3</f>
        <v>0.3020177259333689</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44"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45">
        <f>(G9+F9+H9)/3</f>
        <v>0.25757072625991556</v>
      </c>
      <c r="O10" s="45">
        <f>(G13+F13+H13)/3</f>
        <v>0.57378810025399529</v>
      </c>
      <c r="P10" s="45">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44" t="s">
        <v>117</v>
      </c>
      <c r="O12" s="44" t="s">
        <v>118</v>
      </c>
      <c r="P12" s="44"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45">
        <f>H28/H72</f>
        <v>-0.12519805061487072</v>
      </c>
      <c r="O13" s="17">
        <f>H28/H54</f>
        <v>-3.6455494236592167E-2</v>
      </c>
      <c r="P13" s="45">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44" t="s">
        <v>121</v>
      </c>
      <c r="O15" s="19" t="s">
        <v>153</v>
      </c>
      <c r="P15" s="19" t="s">
        <v>154</v>
      </c>
      <c r="Q15" s="46" t="s">
        <v>155</v>
      </c>
    </row>
    <row r="16" spans="1:39" ht="19" x14ac:dyDescent="0.25">
      <c r="A16" s="5" t="s">
        <v>11</v>
      </c>
      <c r="B16" s="1">
        <v>143301000</v>
      </c>
      <c r="C16" s="1">
        <v>250192000</v>
      </c>
      <c r="D16" s="1">
        <v>386688000</v>
      </c>
      <c r="E16" s="1">
        <v>627478000</v>
      </c>
      <c r="F16" s="1">
        <v>966967000</v>
      </c>
      <c r="G16" s="1">
        <v>1594142000</v>
      </c>
      <c r="H16" s="1">
        <v>2431348000</v>
      </c>
      <c r="N16" s="20">
        <f>(SUM(D35:H35)/5)</f>
        <v>8.101030415292805E-2</v>
      </c>
      <c r="O16" s="65">
        <f>P101/H3</f>
        <v>15.424705260847139</v>
      </c>
      <c r="P16" s="65">
        <f>P101/H25</f>
        <v>-216.22314267307968</v>
      </c>
      <c r="Q16" s="66">
        <f>P101/H107</f>
        <v>51.072185293687482</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47" t="s">
        <v>156</v>
      </c>
      <c r="O18" s="19" t="s">
        <v>158</v>
      </c>
      <c r="P18" s="19" t="s">
        <v>159</v>
      </c>
      <c r="Q18" s="46" t="s">
        <v>160</v>
      </c>
    </row>
    <row r="19" spans="1:17" ht="19" x14ac:dyDescent="0.25">
      <c r="A19" s="6" t="s">
        <v>14</v>
      </c>
      <c r="B19" s="10">
        <v>-87617000</v>
      </c>
      <c r="C19" s="10">
        <v>-125174000</v>
      </c>
      <c r="D19" s="10">
        <v>-122884000</v>
      </c>
      <c r="E19" s="10">
        <v>-115827000</v>
      </c>
      <c r="F19" s="10">
        <v>-46167000</v>
      </c>
      <c r="G19" s="10">
        <v>-116444000</v>
      </c>
      <c r="H19" s="10">
        <v>-41714000</v>
      </c>
      <c r="I19" s="61">
        <v>610500000</v>
      </c>
      <c r="J19" s="61">
        <v>828700000</v>
      </c>
      <c r="K19" s="61">
        <v>1086000000</v>
      </c>
      <c r="L19" s="61">
        <v>1915000000</v>
      </c>
      <c r="M19" s="61">
        <v>2465000000</v>
      </c>
      <c r="N19" s="48">
        <f>H40-H56-H61</f>
        <v>1921751000</v>
      </c>
      <c r="O19" s="65">
        <f>P101/I3</f>
        <v>15.096246602620088</v>
      </c>
      <c r="P19" s="65">
        <f>P101/I28</f>
        <v>60.927748889672188</v>
      </c>
      <c r="Q19" s="66">
        <f>P101/I106</f>
        <v>57.955414450963957</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-15.635374214891883</v>
      </c>
      <c r="J20" s="16">
        <f t="shared" ref="J20" si="5">(J19/I19)-1</f>
        <v>0.35741195741195741</v>
      </c>
      <c r="K20" s="16">
        <f t="shared" ref="K20" si="6">(K19/J19)-1</f>
        <v>0.31048630384940279</v>
      </c>
      <c r="L20" s="16">
        <f t="shared" ref="L20" si="7">(L19/K19)-1</f>
        <v>0.76335174953959495</v>
      </c>
      <c r="M20" s="16">
        <f t="shared" ref="M20" si="8">(M19/L19)-1</f>
        <v>0.28720626631853796</v>
      </c>
      <c r="Q20" s="15"/>
    </row>
    <row r="21" spans="1:17" ht="19" x14ac:dyDescent="0.25">
      <c r="A21" s="5" t="s">
        <v>15</v>
      </c>
      <c r="B21" s="2">
        <v>-1.6611</v>
      </c>
      <c r="C21" s="2">
        <v>-1.0541</v>
      </c>
      <c r="D21" s="2">
        <v>-0.4919</v>
      </c>
      <c r="E21" s="2">
        <v>-0.24060000000000001</v>
      </c>
      <c r="F21" s="2">
        <v>-5.28E-2</v>
      </c>
      <c r="G21" s="2">
        <v>-8.0199999999999994E-2</v>
      </c>
      <c r="H21" s="2">
        <v>-1.8599999999999998E-2</v>
      </c>
      <c r="I21" s="62">
        <f>I19/I3</f>
        <v>0.26659388646288212</v>
      </c>
      <c r="J21" s="62">
        <f t="shared" ref="J21:M21" si="9">J19/J3</f>
        <v>0.28025025363544132</v>
      </c>
      <c r="K21" s="62">
        <f t="shared" si="9"/>
        <v>0.28533893851812925</v>
      </c>
      <c r="L21" s="62">
        <f t="shared" si="9"/>
        <v>0.39338537387017253</v>
      </c>
      <c r="M21" s="62">
        <f t="shared" si="9"/>
        <v>0.40946843853820597</v>
      </c>
    </row>
    <row r="22" spans="1:17" ht="19" x14ac:dyDescent="0.25">
      <c r="A22" s="6" t="s">
        <v>16</v>
      </c>
      <c r="B22" s="10">
        <v>-90556000</v>
      </c>
      <c r="C22" s="10">
        <v>-131440000</v>
      </c>
      <c r="D22" s="10">
        <v>-136864000</v>
      </c>
      <c r="E22" s="10">
        <v>-146065000</v>
      </c>
      <c r="F22" s="10">
        <v>-92529000</v>
      </c>
      <c r="G22" s="10">
        <v>-142548000</v>
      </c>
      <c r="H22" s="10">
        <v>-190112000</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63">
        <v>567400000</v>
      </c>
      <c r="J28" s="63">
        <v>755500000</v>
      </c>
      <c r="K28" s="63">
        <v>986900000</v>
      </c>
      <c r="L28" s="63">
        <v>1382000000</v>
      </c>
      <c r="M28" s="63">
        <v>1914000000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-4.0964009932058172</v>
      </c>
      <c r="J29" s="16">
        <f t="shared" ref="J29" si="12">(J28/I28)-1</f>
        <v>0.3315121607331688</v>
      </c>
      <c r="K29" s="16">
        <f t="shared" ref="K29" si="13">(K28/J28)-1</f>
        <v>0.30628722700198541</v>
      </c>
      <c r="L29" s="16">
        <f t="shared" ref="L29" si="14">(L28/K28)-1</f>
        <v>0.40034451312189678</v>
      </c>
      <c r="M29" s="16">
        <f t="shared" ref="M29" si="15">(M28/L28)-1</f>
        <v>0.38494934876989872</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62">
        <f>I28/I3</f>
        <v>0.24777292576419213</v>
      </c>
      <c r="J30" s="62">
        <f t="shared" ref="J30:M30" si="16">J28/J3</f>
        <v>0.25549543456205615</v>
      </c>
      <c r="K30" s="62">
        <f t="shared" si="16"/>
        <v>0.25930110352075669</v>
      </c>
      <c r="L30" s="62">
        <f t="shared" si="16"/>
        <v>0.2838948233360723</v>
      </c>
      <c r="M30" s="62">
        <f t="shared" si="16"/>
        <v>0.31794019933554818</v>
      </c>
    </row>
    <row r="31" spans="1:17" ht="19" x14ac:dyDescent="0.25">
      <c r="A31" s="5" t="s">
        <v>24</v>
      </c>
      <c r="B31" s="12">
        <v>-0.63</v>
      </c>
      <c r="C31" s="12">
        <v>-0.83</v>
      </c>
      <c r="D31" s="12">
        <v>-0.8</v>
      </c>
      <c r="E31" s="12">
        <v>-0.96</v>
      </c>
      <c r="F31" s="12">
        <v>-0.43</v>
      </c>
      <c r="G31" s="12">
        <v>-1.03</v>
      </c>
      <c r="H31" s="12">
        <v>-0.79</v>
      </c>
      <c r="I31" s="64">
        <v>2.39</v>
      </c>
      <c r="J31" s="64">
        <v>3.19</v>
      </c>
      <c r="K31" s="64">
        <v>4.16</v>
      </c>
      <c r="L31" s="64">
        <v>5.83</v>
      </c>
      <c r="M31" s="64">
        <v>8.07</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row>
    <row r="34" spans="1:17" ht="19" x14ac:dyDescent="0.25">
      <c r="A34" s="5" t="s">
        <v>27</v>
      </c>
      <c r="B34" s="1">
        <v>171202000</v>
      </c>
      <c r="C34" s="1">
        <v>171202000</v>
      </c>
      <c r="D34" s="1">
        <v>171202000</v>
      </c>
      <c r="E34" s="1">
        <v>148062000</v>
      </c>
      <c r="F34" s="1">
        <v>217756000</v>
      </c>
      <c r="G34" s="1">
        <v>227142000</v>
      </c>
      <c r="H34" s="1">
        <v>233139000</v>
      </c>
    </row>
    <row r="35" spans="1:17" ht="20" customHeight="1" x14ac:dyDescent="0.25">
      <c r="A35" s="14" t="s">
        <v>104</v>
      </c>
      <c r="B35" s="1"/>
      <c r="C35" s="22">
        <f>(C34-B34)/B34</f>
        <v>0</v>
      </c>
      <c r="D35" s="22">
        <f t="shared" ref="D35:H35" si="17">(D34-C34)/C34</f>
        <v>0</v>
      </c>
      <c r="E35" s="22">
        <f t="shared" si="17"/>
        <v>-0.13516197240686439</v>
      </c>
      <c r="F35" s="22">
        <f t="shared" si="17"/>
        <v>0.47070821682808556</v>
      </c>
      <c r="G35" s="22">
        <f t="shared" si="17"/>
        <v>4.3103289920828819E-2</v>
      </c>
      <c r="H35" s="22">
        <f t="shared" si="17"/>
        <v>2.6401986422590274E-2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7"/>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c r="O83" s="72" t="s">
        <v>122</v>
      </c>
      <c r="P83" s="73"/>
    </row>
    <row r="84" spans="1:17" ht="19" customHeight="1" x14ac:dyDescent="0.25">
      <c r="A84" s="5" t="s">
        <v>47</v>
      </c>
      <c r="B84" s="1" t="s">
        <v>91</v>
      </c>
      <c r="C84" s="1" t="s">
        <v>91</v>
      </c>
      <c r="D84" s="1" t="s">
        <v>91</v>
      </c>
      <c r="E84" s="1" t="s">
        <v>91</v>
      </c>
      <c r="F84" s="1">
        <v>11325000</v>
      </c>
      <c r="G84" s="1">
        <v>33248000</v>
      </c>
      <c r="H84" s="1">
        <v>-15463000</v>
      </c>
      <c r="O84" s="74" t="s">
        <v>123</v>
      </c>
      <c r="P84" s="75"/>
    </row>
    <row r="85" spans="1:17" ht="20" x14ac:dyDescent="0.25">
      <c r="A85" s="5" t="s">
        <v>71</v>
      </c>
      <c r="B85" s="1">
        <v>27984000</v>
      </c>
      <c r="C85" s="1">
        <v>57703000</v>
      </c>
      <c r="D85" s="1">
        <v>83680000</v>
      </c>
      <c r="E85" s="1">
        <v>193876000</v>
      </c>
      <c r="F85" s="1">
        <v>187828000</v>
      </c>
      <c r="G85" s="1">
        <v>382100000</v>
      </c>
      <c r="H85" s="1" t="s">
        <v>91</v>
      </c>
      <c r="O85" s="50" t="s">
        <v>101</v>
      </c>
      <c r="P85" s="51">
        <f>H17</f>
        <v>25319000</v>
      </c>
    </row>
    <row r="86" spans="1:17" ht="19" customHeight="1" x14ac:dyDescent="0.25">
      <c r="A86" s="5" t="s">
        <v>72</v>
      </c>
      <c r="B86" s="1">
        <v>5247000</v>
      </c>
      <c r="C86" s="1">
        <v>14181000</v>
      </c>
      <c r="D86" s="1">
        <v>31906000</v>
      </c>
      <c r="E86" s="1">
        <v>40798000</v>
      </c>
      <c r="F86" s="1">
        <v>73766000</v>
      </c>
      <c r="G86" s="1">
        <v>120633000</v>
      </c>
      <c r="H86" s="1" t="s">
        <v>91</v>
      </c>
      <c r="O86" s="50" t="s">
        <v>124</v>
      </c>
      <c r="P86" s="51">
        <f>H56</f>
        <v>13046000</v>
      </c>
    </row>
    <row r="87" spans="1:17" ht="20" x14ac:dyDescent="0.25">
      <c r="A87" s="6" t="s">
        <v>73</v>
      </c>
      <c r="B87" s="10">
        <v>-51998000</v>
      </c>
      <c r="C87" s="10">
        <v>-58766000</v>
      </c>
      <c r="D87" s="10">
        <v>-22968000</v>
      </c>
      <c r="E87" s="10">
        <v>99943000</v>
      </c>
      <c r="F87" s="10">
        <v>356566000</v>
      </c>
      <c r="G87" s="10">
        <v>574784000</v>
      </c>
      <c r="H87" s="10">
        <v>941007000</v>
      </c>
      <c r="O87" s="50" t="s">
        <v>125</v>
      </c>
      <c r="P87" s="51">
        <f>H61</f>
        <v>770572000</v>
      </c>
    </row>
    <row r="88" spans="1:17" ht="20" x14ac:dyDescent="0.25">
      <c r="A88" s="5" t="s">
        <v>74</v>
      </c>
      <c r="B88" s="1">
        <v>-6591000</v>
      </c>
      <c r="C88" s="1">
        <v>-22906000</v>
      </c>
      <c r="D88" s="1">
        <v>-35851000</v>
      </c>
      <c r="E88" s="1">
        <v>-80198000</v>
      </c>
      <c r="F88" s="1">
        <v>-52799000</v>
      </c>
      <c r="G88" s="1">
        <v>-112143000</v>
      </c>
      <c r="H88" s="1">
        <v>-235019000</v>
      </c>
      <c r="O88" s="52" t="s">
        <v>126</v>
      </c>
      <c r="P88" s="53">
        <f>P85/(P86+P87)</f>
        <v>3.231038592783729E-2</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15"/>
      <c r="J89" s="15"/>
      <c r="O89" s="50" t="s">
        <v>127</v>
      </c>
      <c r="P89" s="51">
        <f>H27</f>
        <v>22402000</v>
      </c>
      <c r="Q89" s="15"/>
    </row>
    <row r="90" spans="1:17" ht="20" x14ac:dyDescent="0.25">
      <c r="A90" s="5" t="s">
        <v>75</v>
      </c>
      <c r="B90" s="1" t="s">
        <v>91</v>
      </c>
      <c r="C90" s="1">
        <v>-6471000</v>
      </c>
      <c r="D90" s="1" t="s">
        <v>91</v>
      </c>
      <c r="E90" s="1" t="s">
        <v>91</v>
      </c>
      <c r="F90" s="1">
        <v>-85517000</v>
      </c>
      <c r="G90" s="1">
        <v>-414518000</v>
      </c>
      <c r="H90" s="1">
        <v>-18349000</v>
      </c>
      <c r="O90" s="50" t="s">
        <v>19</v>
      </c>
      <c r="P90" s="51">
        <f>H25</f>
        <v>-159883000</v>
      </c>
    </row>
    <row r="91" spans="1:17" ht="20" x14ac:dyDescent="0.25">
      <c r="A91" s="5" t="s">
        <v>76</v>
      </c>
      <c r="B91" s="1">
        <v>-12072000</v>
      </c>
      <c r="C91" s="1">
        <v>-9559000</v>
      </c>
      <c r="D91" s="1">
        <v>-199335000</v>
      </c>
      <c r="E91" s="1">
        <v>-780701000</v>
      </c>
      <c r="F91" s="1">
        <v>-86404000</v>
      </c>
      <c r="G91" s="1">
        <v>-16309000</v>
      </c>
      <c r="H91" s="1">
        <v>-271872000</v>
      </c>
      <c r="O91" s="52" t="s">
        <v>128</v>
      </c>
      <c r="P91" s="53">
        <f>P89/P90</f>
        <v>-0.14011495906381541</v>
      </c>
    </row>
    <row r="92" spans="1:17" ht="19" customHeight="1" x14ac:dyDescent="0.25">
      <c r="A92" s="5" t="s">
        <v>77</v>
      </c>
      <c r="B92" s="1">
        <v>12865000</v>
      </c>
      <c r="C92" s="1">
        <v>17455000</v>
      </c>
      <c r="D92" s="1">
        <v>99950000</v>
      </c>
      <c r="E92" s="1">
        <v>238557000</v>
      </c>
      <c r="F92" s="1">
        <v>731191000</v>
      </c>
      <c r="G92" s="1" t="s">
        <v>91</v>
      </c>
      <c r="H92" s="1" t="s">
        <v>91</v>
      </c>
      <c r="O92" s="54" t="s">
        <v>129</v>
      </c>
      <c r="P92" s="55">
        <f>P88*(1-P91)</f>
        <v>3.6837554329452286E-2</v>
      </c>
    </row>
    <row r="93" spans="1:17" ht="19" customHeight="1" x14ac:dyDescent="0.25">
      <c r="A93" s="5" t="s">
        <v>78</v>
      </c>
      <c r="B93" s="1">
        <v>-6056000</v>
      </c>
      <c r="C93" s="1">
        <v>-6849000</v>
      </c>
      <c r="D93" s="1">
        <v>-6794000</v>
      </c>
      <c r="E93" s="1">
        <v>-7289000</v>
      </c>
      <c r="F93" s="1">
        <v>-11044000</v>
      </c>
      <c r="G93" s="1">
        <v>-21546000</v>
      </c>
      <c r="H93" s="1">
        <v>-31418000</v>
      </c>
      <c r="O93" s="76" t="s">
        <v>130</v>
      </c>
      <c r="P93" s="77"/>
    </row>
    <row r="94" spans="1:17" ht="20" x14ac:dyDescent="0.25">
      <c r="A94" s="6" t="s">
        <v>79</v>
      </c>
      <c r="B94" s="10">
        <v>-11854000</v>
      </c>
      <c r="C94" s="10">
        <v>-28330000</v>
      </c>
      <c r="D94" s="10">
        <v>-142030000</v>
      </c>
      <c r="E94" s="10">
        <v>-629631000</v>
      </c>
      <c r="F94" s="10">
        <v>495427000</v>
      </c>
      <c r="G94" s="10">
        <v>-564516000</v>
      </c>
      <c r="H94" s="10">
        <v>-556658000</v>
      </c>
      <c r="O94" s="50" t="s">
        <v>103</v>
      </c>
      <c r="P94" s="56">
        <f>[1]Treasuries!$C$8</f>
        <v>3.7229999999999999E-2</v>
      </c>
    </row>
    <row r="95" spans="1:17" ht="20" x14ac:dyDescent="0.25">
      <c r="A95" s="5" t="s">
        <v>80</v>
      </c>
      <c r="B95" s="1">
        <v>-2400000</v>
      </c>
      <c r="C95" s="1">
        <v>-19324000</v>
      </c>
      <c r="D95" s="1">
        <v>-26158000</v>
      </c>
      <c r="E95" s="1" t="s">
        <v>91</v>
      </c>
      <c r="F95" s="1" t="s">
        <v>91</v>
      </c>
      <c r="G95" s="1">
        <v>-219000</v>
      </c>
      <c r="H95" s="1" t="s">
        <v>91</v>
      </c>
      <c r="O95" s="50" t="s">
        <v>131</v>
      </c>
      <c r="P95" s="58" cm="1">
        <f t="array" ref="P95">_FV(A1,"Beta")</f>
        <v>0.97670000000000001</v>
      </c>
    </row>
    <row r="96" spans="1:17" ht="20" x14ac:dyDescent="0.25">
      <c r="A96" s="5" t="s">
        <v>81</v>
      </c>
      <c r="B96" s="1" t="s">
        <v>91</v>
      </c>
      <c r="C96" s="1" t="s">
        <v>91</v>
      </c>
      <c r="D96" s="1" t="s">
        <v>91</v>
      </c>
      <c r="E96" s="1">
        <v>665092000</v>
      </c>
      <c r="F96" s="1" t="s">
        <v>91</v>
      </c>
      <c r="G96" s="1">
        <v>15899000</v>
      </c>
      <c r="H96" s="1" t="s">
        <v>91</v>
      </c>
      <c r="O96" s="50" t="s">
        <v>132</v>
      </c>
      <c r="P96" s="56">
        <v>8.4000000000000005E-2</v>
      </c>
    </row>
    <row r="97" spans="1:17" ht="19" customHeight="1" x14ac:dyDescent="0.25">
      <c r="A97" s="5" t="s">
        <v>82</v>
      </c>
      <c r="B97" s="1" t="s">
        <v>91</v>
      </c>
      <c r="C97" s="1" t="s">
        <v>91</v>
      </c>
      <c r="D97" s="1" t="s">
        <v>91</v>
      </c>
      <c r="E97" s="1" t="s">
        <v>91</v>
      </c>
      <c r="F97" s="1" t="s">
        <v>91</v>
      </c>
      <c r="G97" s="1" t="s">
        <v>91</v>
      </c>
      <c r="H97" s="1" t="s">
        <v>91</v>
      </c>
      <c r="O97" s="54" t="s">
        <v>133</v>
      </c>
      <c r="P97" s="55">
        <f>(P94)+((P95)*(P96-P94))</f>
        <v>8.2910259000000014E-2</v>
      </c>
    </row>
    <row r="98" spans="1:17" ht="19" customHeight="1" x14ac:dyDescent="0.25">
      <c r="A98" s="5" t="s">
        <v>83</v>
      </c>
      <c r="B98" s="36">
        <v>0</v>
      </c>
      <c r="C98" s="36">
        <v>0</v>
      </c>
      <c r="D98" s="36">
        <v>0</v>
      </c>
      <c r="E98" s="36">
        <v>0</v>
      </c>
      <c r="F98" s="36">
        <v>0</v>
      </c>
      <c r="G98" s="36">
        <v>0</v>
      </c>
      <c r="H98" s="1">
        <v>0</v>
      </c>
      <c r="O98" s="76" t="s">
        <v>134</v>
      </c>
      <c r="P98" s="77"/>
    </row>
    <row r="99" spans="1:17" ht="20" x14ac:dyDescent="0.25">
      <c r="A99" s="5" t="s">
        <v>84</v>
      </c>
      <c r="B99" s="1">
        <v>19860000</v>
      </c>
      <c r="C99" s="1">
        <v>146155000</v>
      </c>
      <c r="D99" s="1">
        <v>216547000</v>
      </c>
      <c r="E99" s="1">
        <v>41052000</v>
      </c>
      <c r="F99" s="1">
        <v>800135000</v>
      </c>
      <c r="G99" s="1">
        <v>56851000</v>
      </c>
      <c r="H99" s="1">
        <v>77437000</v>
      </c>
      <c r="O99" s="50" t="s">
        <v>135</v>
      </c>
      <c r="P99" s="51">
        <f>P86+P87</f>
        <v>783618000</v>
      </c>
    </row>
    <row r="100" spans="1:17" ht="20" x14ac:dyDescent="0.25">
      <c r="A100" s="6" t="s">
        <v>85</v>
      </c>
      <c r="B100" s="10">
        <v>17460000</v>
      </c>
      <c r="C100" s="10">
        <v>126831000</v>
      </c>
      <c r="D100" s="10">
        <v>190389000</v>
      </c>
      <c r="E100" s="10">
        <v>706144000</v>
      </c>
      <c r="F100" s="10">
        <v>800135000</v>
      </c>
      <c r="G100" s="10">
        <v>72531000</v>
      </c>
      <c r="H100" s="10">
        <v>77437000</v>
      </c>
      <c r="O100" s="52" t="s">
        <v>105</v>
      </c>
      <c r="P100" s="53">
        <f>P99/P103</f>
        <v>2.2164889302871388E-2</v>
      </c>
    </row>
    <row r="101" spans="1:17" ht="20" x14ac:dyDescent="0.25">
      <c r="A101" s="5" t="s">
        <v>86</v>
      </c>
      <c r="B101" s="1" t="s">
        <v>91</v>
      </c>
      <c r="C101" s="1">
        <v>618000</v>
      </c>
      <c r="D101" s="1">
        <v>-162000</v>
      </c>
      <c r="E101" s="1">
        <v>-66000</v>
      </c>
      <c r="F101" s="1">
        <v>1682000</v>
      </c>
      <c r="G101" s="1">
        <v>-4774000</v>
      </c>
      <c r="H101" s="1">
        <v>-1495000</v>
      </c>
      <c r="O101" s="50" t="s">
        <v>136</v>
      </c>
      <c r="P101" s="39" cm="1">
        <f t="array" ref="P101">_FV(A1,"Market cap",TRUE)</f>
        <v>34570404720</v>
      </c>
    </row>
    <row r="102" spans="1:17" ht="20" x14ac:dyDescent="0.25">
      <c r="A102" s="6" t="s">
        <v>87</v>
      </c>
      <c r="B102" s="10">
        <v>-46392000</v>
      </c>
      <c r="C102" s="10">
        <v>40353000</v>
      </c>
      <c r="D102" s="10">
        <v>25229000</v>
      </c>
      <c r="E102" s="10">
        <v>176390000</v>
      </c>
      <c r="F102" s="10">
        <v>1653810000</v>
      </c>
      <c r="G102" s="10">
        <v>78025000</v>
      </c>
      <c r="H102" s="10">
        <v>460291000</v>
      </c>
      <c r="O102" s="52" t="s">
        <v>137</v>
      </c>
      <c r="P102" s="53">
        <f>P101/P103</f>
        <v>0.97783511069712858</v>
      </c>
    </row>
    <row r="103" spans="1:17" ht="19" customHeight="1" x14ac:dyDescent="0.25">
      <c r="A103" s="5" t="s">
        <v>88</v>
      </c>
      <c r="B103" s="1">
        <v>69218000</v>
      </c>
      <c r="C103" s="1">
        <v>22826000</v>
      </c>
      <c r="D103" s="1">
        <v>63179000</v>
      </c>
      <c r="E103" s="1">
        <v>88408000</v>
      </c>
      <c r="F103" s="1">
        <v>264798000</v>
      </c>
      <c r="G103" s="1">
        <v>1918608000</v>
      </c>
      <c r="H103" s="1">
        <v>1996633000</v>
      </c>
      <c r="O103" s="54" t="s">
        <v>138</v>
      </c>
      <c r="P103" s="57">
        <f>P99+P101</f>
        <v>35354022720</v>
      </c>
    </row>
    <row r="104" spans="1:17" ht="20" customHeight="1" thickBot="1" x14ac:dyDescent="0.3">
      <c r="A104" s="7" t="s">
        <v>89</v>
      </c>
      <c r="B104" s="11">
        <v>22826000</v>
      </c>
      <c r="C104" s="11">
        <v>63179000</v>
      </c>
      <c r="D104" s="11">
        <v>88408000</v>
      </c>
      <c r="E104" s="11">
        <v>264798000</v>
      </c>
      <c r="F104" s="11">
        <v>1918608000</v>
      </c>
      <c r="G104" s="11">
        <v>1996633000</v>
      </c>
      <c r="H104" s="11">
        <v>2456924000</v>
      </c>
      <c r="O104" s="76" t="s">
        <v>139</v>
      </c>
      <c r="P104" s="77"/>
    </row>
    <row r="105" spans="1:17" ht="21" thickTop="1" x14ac:dyDescent="0.25">
      <c r="A105" s="14" t="s">
        <v>161</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37">
        <f>H105*(1+$P$106)</f>
        <v>278038395.13268656</v>
      </c>
      <c r="J105" s="37">
        <f t="shared" ref="J105:M105" si="21">I105*(1+$P$106)</f>
        <v>370994326.37735885</v>
      </c>
      <c r="K105" s="37">
        <f t="shared" si="21"/>
        <v>495027998.33996558</v>
      </c>
      <c r="L105" s="37">
        <f t="shared" si="21"/>
        <v>660529559.93514657</v>
      </c>
      <c r="M105" s="37">
        <f t="shared" si="21"/>
        <v>881362874.44591236</v>
      </c>
      <c r="N105" s="28" t="s">
        <v>162</v>
      </c>
      <c r="O105" s="25" t="s">
        <v>140</v>
      </c>
      <c r="P105" s="26">
        <f>(P100*P92)+(P102*P97)</f>
        <v>8.1889062601093437E-2</v>
      </c>
      <c r="Q105" s="15"/>
    </row>
    <row r="106" spans="1:17" ht="19" x14ac:dyDescent="0.25">
      <c r="A106" s="14" t="s">
        <v>108</v>
      </c>
      <c r="B106" s="1"/>
      <c r="C106" s="15">
        <f t="shared" ref="C106:H106" si="22">(C107/B107)-1</f>
        <v>0.36934024286487732</v>
      </c>
      <c r="D106" s="15">
        <f t="shared" si="22"/>
        <v>-0.25878605076761452</v>
      </c>
      <c r="E106" s="15">
        <f t="shared" si="22"/>
        <v>-1.1898404279639705</v>
      </c>
      <c r="F106" s="15">
        <f t="shared" si="22"/>
        <v>22.500561978163134</v>
      </c>
      <c r="G106" s="15">
        <f t="shared" si="22"/>
        <v>0.50919128322680485</v>
      </c>
      <c r="H106" s="15">
        <f t="shared" si="22"/>
        <v>0.53221209891913301</v>
      </c>
      <c r="I106" s="67">
        <v>596500000</v>
      </c>
      <c r="J106" s="67">
        <v>725800000</v>
      </c>
      <c r="K106" s="67">
        <v>903100000</v>
      </c>
      <c r="L106" s="67">
        <v>1813000000</v>
      </c>
      <c r="M106" s="67">
        <v>2068000000</v>
      </c>
      <c r="N106" s="28" t="s">
        <v>163</v>
      </c>
      <c r="O106" s="29" t="s">
        <v>141</v>
      </c>
      <c r="P106" s="30">
        <f>(SUM(I4:M4)/5)</f>
        <v>0.33432767873772085</v>
      </c>
    </row>
    <row r="107" spans="1:17" ht="19" x14ac:dyDescent="0.25">
      <c r="A107" s="69" t="s">
        <v>164</v>
      </c>
      <c r="B107" s="1">
        <v>-64645000</v>
      </c>
      <c r="C107" s="1">
        <v>-88521000</v>
      </c>
      <c r="D107" s="1">
        <v>-65613000</v>
      </c>
      <c r="E107" s="1">
        <v>12456000</v>
      </c>
      <c r="F107" s="1">
        <v>292723000</v>
      </c>
      <c r="G107" s="1">
        <v>441775000</v>
      </c>
      <c r="H107" s="1">
        <v>676893000</v>
      </c>
      <c r="I107" s="28"/>
      <c r="J107" s="28"/>
      <c r="K107" s="28"/>
      <c r="L107" s="28"/>
      <c r="M107" s="68">
        <f>M106*(1+P107)/(P108-P107)</f>
        <v>37260237787.065559</v>
      </c>
      <c r="N107" s="31" t="s">
        <v>142</v>
      </c>
      <c r="O107" s="32" t="s">
        <v>143</v>
      </c>
      <c r="P107" s="33">
        <v>2.5000000000000001E-2</v>
      </c>
    </row>
    <row r="108" spans="1:17" ht="19" x14ac:dyDescent="0.25">
      <c r="I108" s="68">
        <f t="shared" ref="I108:L108" si="23">I107+I106</f>
        <v>596500000</v>
      </c>
      <c r="J108" s="68">
        <f t="shared" si="23"/>
        <v>725800000</v>
      </c>
      <c r="K108" s="68">
        <f t="shared" si="23"/>
        <v>903100000</v>
      </c>
      <c r="L108" s="68">
        <f t="shared" si="23"/>
        <v>1813000000</v>
      </c>
      <c r="M108" s="68">
        <f>M107+M106</f>
        <v>39328237787.065559</v>
      </c>
      <c r="N108" s="31" t="s">
        <v>138</v>
      </c>
      <c r="O108" s="34" t="s">
        <v>144</v>
      </c>
      <c r="P108" s="35">
        <f>P105</f>
        <v>8.1889062601093437E-2</v>
      </c>
    </row>
    <row r="109" spans="1:17" ht="19" x14ac:dyDescent="0.25">
      <c r="I109" s="70" t="s">
        <v>145</v>
      </c>
      <c r="J109" s="71"/>
    </row>
    <row r="110" spans="1:17" ht="20" x14ac:dyDescent="0.25">
      <c r="I110" s="38" t="s">
        <v>146</v>
      </c>
      <c r="J110" s="39">
        <f>NPV(P108,I108,J108,K108,L108,M108)</f>
        <v>29741196664.45533</v>
      </c>
    </row>
    <row r="111" spans="1:17" ht="20" x14ac:dyDescent="0.25">
      <c r="I111" s="38" t="s">
        <v>147</v>
      </c>
      <c r="J111" s="39">
        <f>H40</f>
        <v>2705369000</v>
      </c>
    </row>
    <row r="112" spans="1:17" ht="20" x14ac:dyDescent="0.25">
      <c r="I112" s="38" t="s">
        <v>135</v>
      </c>
      <c r="J112" s="39">
        <f>P99</f>
        <v>783618000</v>
      </c>
    </row>
    <row r="113" spans="9:10" ht="20" x14ac:dyDescent="0.25">
      <c r="I113" s="38" t="s">
        <v>148</v>
      </c>
      <c r="J113" s="39">
        <f>J110+J111-J112</f>
        <v>31662947664.45533</v>
      </c>
    </row>
    <row r="114" spans="9:10" ht="20" customHeight="1" x14ac:dyDescent="0.25">
      <c r="I114" s="38" t="s">
        <v>157</v>
      </c>
      <c r="J114" s="49">
        <f>G34*(1+(5*0.05))</f>
        <v>283927500</v>
      </c>
    </row>
    <row r="115" spans="9:10" ht="20" x14ac:dyDescent="0.25">
      <c r="I115" s="40" t="s">
        <v>149</v>
      </c>
      <c r="J115" s="60">
        <f>J113/J114</f>
        <v>111.51772077187074</v>
      </c>
    </row>
    <row r="116" spans="9:10" ht="20" x14ac:dyDescent="0.25">
      <c r="I116" s="38" t="s">
        <v>150</v>
      </c>
      <c r="J116" s="59" cm="1">
        <f t="array" ref="J116">_FV(A1,"Price")</f>
        <v>145.80000000000001</v>
      </c>
    </row>
    <row r="117" spans="9:10" ht="20" x14ac:dyDescent="0.25">
      <c r="I117" s="41" t="s">
        <v>151</v>
      </c>
      <c r="J117" s="42">
        <f>J115/J116-1</f>
        <v>-0.2351322306456054</v>
      </c>
    </row>
    <row r="118" spans="9:10" ht="20" x14ac:dyDescent="0.25">
      <c r="I118" s="41" t="s">
        <v>152</v>
      </c>
      <c r="J118" s="43" t="str">
        <f>IF(J115&gt;J116,"BUY","SELL")</f>
        <v>SELL</v>
      </c>
    </row>
  </sheetData>
  <mergeCells count="6">
    <mergeCell ref="I109:J109"/>
    <mergeCell ref="O83:P83"/>
    <mergeCell ref="O84:P84"/>
    <mergeCell ref="O93:P93"/>
    <mergeCell ref="O98:P98"/>
    <mergeCell ref="O104:P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6"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2023-06-23T11:47:52Z</dcterms:modified>
</cp:coreProperties>
</file>