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F9742885-5658-9548-B768-7C1464C9FC10}" xr6:coauthVersionLast="47" xr6:coauthVersionMax="47" xr10:uidLastSave="{00000000-0000-0000-0000-000000000000}"/>
  <bookViews>
    <workbookView xWindow="0" yWindow="500" windowWidth="277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a="1"/>
  <c r="H114" i="1" s="1"/>
  <c r="H30" i="1"/>
  <c r="I30" i="1"/>
  <c r="J30" i="1"/>
  <c r="K30" i="1"/>
  <c r="G30" i="1"/>
  <c r="H21" i="1"/>
  <c r="I21" i="1"/>
  <c r="J21" i="1"/>
  <c r="K21" i="1"/>
  <c r="G21" i="1"/>
  <c r="G29" i="1" l="1"/>
  <c r="H29" i="1"/>
  <c r="I29" i="1"/>
  <c r="J29" i="1"/>
  <c r="K29" i="1"/>
  <c r="G20" i="1"/>
  <c r="H20" i="1"/>
  <c r="I20" i="1"/>
  <c r="J20" i="1"/>
  <c r="K20" i="1"/>
  <c r="H116" i="1" a="1"/>
  <c r="H116" i="1" s="1"/>
  <c r="H111" i="1"/>
  <c r="N101" i="1" a="1"/>
  <c r="N101" i="1" s="1"/>
  <c r="N95" i="1" a="1"/>
  <c r="N95" i="1" s="1"/>
  <c r="N97" i="1" s="1"/>
  <c r="N90" i="1"/>
  <c r="N89" i="1"/>
  <c r="N91" i="1" s="1"/>
  <c r="N87" i="1"/>
  <c r="N86" i="1"/>
  <c r="N99" i="1" s="1"/>
  <c r="N85" i="1"/>
  <c r="N88" i="1" s="1"/>
  <c r="L19" i="1"/>
  <c r="L16" i="1"/>
  <c r="O13" i="1"/>
  <c r="N13" i="1"/>
  <c r="M13" i="1"/>
  <c r="L13" i="1"/>
  <c r="N10" i="1"/>
  <c r="M10" i="1"/>
  <c r="L10" i="1"/>
  <c r="O7" i="1"/>
  <c r="N7" i="1"/>
  <c r="M7" i="1"/>
  <c r="L7" i="1"/>
  <c r="O4" i="1"/>
  <c r="N4" i="1"/>
  <c r="M4" i="1"/>
  <c r="L4" i="1"/>
  <c r="K4" i="1"/>
  <c r="J4" i="1"/>
  <c r="I4" i="1"/>
  <c r="H4" i="1"/>
  <c r="G4" i="1"/>
  <c r="F105" i="1"/>
  <c r="E105" i="1"/>
  <c r="D105" i="1"/>
  <c r="C105" i="1"/>
  <c r="F89" i="1"/>
  <c r="O10" i="1" s="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O19" i="1" l="1"/>
  <c r="N19" i="1"/>
  <c r="M19" i="1"/>
  <c r="N106" i="1"/>
  <c r="G106" i="1" s="1"/>
  <c r="O16" i="1"/>
  <c r="N16" i="1"/>
  <c r="M16" i="1"/>
  <c r="N92" i="1"/>
  <c r="H106" i="1"/>
  <c r="G108" i="1"/>
  <c r="N103" i="1"/>
  <c r="N102" i="1" s="1"/>
  <c r="H112" i="1"/>
  <c r="I106" i="1" l="1"/>
  <c r="H108" i="1"/>
  <c r="N100" i="1"/>
  <c r="N105" i="1" s="1"/>
  <c r="N108" i="1" s="1"/>
  <c r="K107" i="1" s="1"/>
  <c r="K108" i="1" s="1"/>
  <c r="J106" i="1" l="1"/>
  <c r="I108" i="1"/>
  <c r="K106" i="1" l="1"/>
  <c r="J108" i="1"/>
  <c r="H110" i="1" l="1"/>
  <c r="H113" i="1" s="1"/>
  <c r="H115" i="1" s="1"/>
  <c r="H118" i="1" s="1"/>
  <c r="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<sst xmlns="http://schemas.openxmlformats.org/spreadsheetml/2006/main" count="298" uniqueCount="163">
  <si>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</si>
  <si>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</si>
  <si>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</si>
  <si>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</si>
  <si>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</si>
  <si>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</si>
  <si>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</si>
  <si>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</si>
  <si>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</si>
  <si>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</si>
  <si>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</si>
  <si>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</si>
  <si>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</si>
  <si>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</si>
  <si>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</si>
  <si>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</si>
  <si>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</si>
  <si>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</si>
  <si>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</si>
  <si>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</si>
  <si>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</si>
  <si>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</si>
  <si>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</si>
  <si>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</si>
  <si>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</si>
  <si>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</si>
  <si>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</si>
  <si>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</si>
  <si>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</si>
  <si>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</si>
  <si>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</si>
  <si>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</si>
  <si>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</si>
  <si>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</si>
  <si>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</si>
  <si>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</si>
  <si>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</si>
  <si>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</si>
  <si>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</si>
  <si>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</si>
  <si>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</si>
  <si>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</si>
  <si>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</si>
  <si>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</si>
  <si>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</si>
  <si>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</si>
  <si>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</si>
  <si>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</si>
  <si>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</si>
  <si>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</si>
  <si>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</si>
  <si>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</si>
  <si>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</si>
  <si>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</si>
  <si>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</si>
  <si>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</si>
  <si>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</si>
  <si>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</si>
  <si>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</si>
  <si>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</si>
  <si>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</si>
  <si>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</si>
  <si>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</si>
  <si>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</si>
  <si>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</si>
  <si>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</si>
  <si>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</si>
  <si>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</si>
  <si>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</si>
  <si>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</si>
  <si>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</si>
  <si>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</si>
  <si>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</si>
  <si>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</si>
  <si>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</si>
  <si>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</si>
  <si>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</si>
  <si>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</si>
  <si>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</si>
  <si>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</si>
  <si>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</si>
  <si>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</si>
  <si>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</si>
  <si>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</si>
  <si>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</si>
  <si>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</si>
  <si>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</si>
  <si>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</si>
  <si>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</si>
  <si>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</si>
  <si>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</si>
  <si>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</si>
  <si>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</si>
  <si>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</si>
  <si>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</si>
  <si>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</si>
  <si>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</si>
  <si>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</si>
  <si>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</si>
  <si>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</si>
  <si>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</si>
  <si>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</si>
  <si>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</si>
  <si>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</si>
  <si>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</si>
  <si>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</si>
  <si>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</si>
  <si>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</si>
  <si>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</si>
  <si>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</si>
  <si>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</si>
  <si>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</si>
  <si>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</si>
  <si>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</si>
  <si>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</si>
  <si>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</si>
  <si>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</si>
  <si>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</si>
  <si>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</si>
  <si>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</si>
  <si>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</si>
  <si>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</si>
  <si>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</si>
  <si>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</si>
  <si>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</si>
  <si>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</si>
  <si>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</si>
  <si>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</si>
  <si>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</si>
  <si>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</si>
  <si>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</si>
  <si>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</si>
  <si>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</si>
  <si>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</si>
  <si>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</si>
  <si>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</si>
  <si>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</si>
  <si>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</si>
  <si>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</si>
  <si>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</si>
  <si>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</si>
  <si>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</si>
  <si>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</si>
  <si>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</si>
  <si>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</si>
  <si>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</si>
  <si>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</si>
  <si>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</si>
  <si>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</si>
  <si>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</si>
  <si>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</si>
  <si>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</si>
  <si>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</si>
  <si>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</si>
  <si>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</si>
  <si>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</si>
  <si>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</si>
  <si>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</si>
  <si>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</si>
  <si>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</si>
  <si>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</si>
  <si>
    <t>Forward P/FCF</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</si>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</sst>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5" xfId="0" applyNumberFormat="1" applyFont="1" applyBorder="1"/>
    <xf numFmtId="164" fontId="10"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DOCN</a:t>
            </a:r>
            <a:endParaRPr lang="en-US"/>
          </a:p>
        </c:rich>
      </c:tx>
      <c:layout>
        <c:manualLayout>
          <c:xMode val="edge"/>
          <c:yMode val="edge"/>
          <c:x val="0.45773363593175259"/>
          <c:y val="1.874633860574106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7473896822331042E-2"/>
          <c:y val="0.11606326889279439"/>
          <c:w val="0.87694297373077112"/>
          <c:h val="0.7670761892900469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203136000</c:v>
                </c:pt>
                <c:pt idx="1">
                  <c:v>254823000</c:v>
                </c:pt>
                <c:pt idx="2">
                  <c:v>318380000</c:v>
                </c:pt>
                <c:pt idx="3">
                  <c:v>428561000</c:v>
                </c:pt>
                <c:pt idx="4">
                  <c:v>576322000</c:v>
                </c:pt>
              </c:numCache>
            </c:numRef>
          </c:val>
          <c:extLst>
            <c:ext xmlns:c16="http://schemas.microsoft.com/office/drawing/2014/chart" uri="{C3380CC4-5D6E-409C-BE32-E72D297353CC}">
              <c16:uniqueId val="{00000000-A675-784C-BD4F-0AC09C90C8C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23949000</c:v>
                </c:pt>
                <c:pt idx="1">
                  <c:v>32840000</c:v>
                </c:pt>
                <c:pt idx="2">
                  <c:v>46527000</c:v>
                </c:pt>
                <c:pt idx="3">
                  <c:v>73915000</c:v>
                </c:pt>
                <c:pt idx="4">
                  <c:v>86221000</c:v>
                </c:pt>
              </c:numCache>
            </c:numRef>
          </c:val>
          <c:extLst>
            <c:ext xmlns:c16="http://schemas.microsoft.com/office/drawing/2014/chart" uri="{C3380CC4-5D6E-409C-BE32-E72D297353CC}">
              <c16:uniqueId val="{00000001-A675-784C-BD4F-0AC09C90C8C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1'!$B$106:$F$106</c:f>
              <c:numCache>
                <c:formatCode>#,###,,;\(#,###,,\);\ \-\ \-</c:formatCode>
                <c:ptCount val="5"/>
                <c:pt idx="0">
                  <c:v>-23300000</c:v>
                </c:pt>
                <c:pt idx="1">
                  <c:v>-44597000</c:v>
                </c:pt>
                <c:pt idx="2">
                  <c:v>-57548000</c:v>
                </c:pt>
                <c:pt idx="3">
                  <c:v>24015000</c:v>
                </c:pt>
                <c:pt idx="4">
                  <c:v>74935000</c:v>
                </c:pt>
              </c:numCache>
            </c:numRef>
          </c:val>
          <c:extLst>
            <c:ext xmlns:c16="http://schemas.microsoft.com/office/drawing/2014/chart" uri="{C3380CC4-5D6E-409C-BE32-E72D297353CC}">
              <c16:uniqueId val="{00000002-A675-784C-BD4F-0AC09C90C8C6}"/>
            </c:ext>
          </c:extLst>
        </c:ser>
        <c:dLbls>
          <c:showLegendKey val="0"/>
          <c:showVal val="0"/>
          <c:showCatName val="0"/>
          <c:showSerName val="0"/>
          <c:showPercent val="0"/>
          <c:showBubbleSize val="0"/>
        </c:dLbls>
        <c:gapWidth val="100"/>
        <c:overlap val="-24"/>
        <c:axId val="321647247"/>
        <c:axId val="314799695"/>
      </c:barChart>
      <c:catAx>
        <c:axId val="32164724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4799695"/>
        <c:crosses val="autoZero"/>
        <c:auto val="1"/>
        <c:lblAlgn val="ctr"/>
        <c:lblOffset val="100"/>
        <c:noMultiLvlLbl val="0"/>
      </c:catAx>
      <c:valAx>
        <c:axId val="3147996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21647247"/>
        <c:crosses val="autoZero"/>
        <c:crossBetween val="between"/>
      </c:valAx>
      <c:spPr>
        <a:noFill/>
        <a:ln>
          <a:noFill/>
        </a:ln>
        <a:effectLst/>
      </c:spPr>
    </c:plotArea>
    <c:legend>
      <c:legendPos val="b"/>
      <c:layout>
        <c:manualLayout>
          <c:xMode val="edge"/>
          <c:yMode val="edge"/>
          <c:x val="0.34834772530679875"/>
          <c:y val="0.91915992047567008"/>
          <c:w val="0.30330444518106042"/>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23812</xdr:colOff>
      <xdr:row>108</xdr:row>
      <xdr:rowOff>25399</xdr:rowOff>
    </xdr:from>
    <xdr:to>
      <xdr:col>13</xdr:col>
      <xdr:colOff>1603374</xdr:colOff>
      <xdr:row>132</xdr:row>
      <xdr:rowOff>31749</xdr:rowOff>
    </xdr:to>
    <xdr:graphicFrame macro="">
      <xdr:nvGraphicFramePr>
        <xdr:cNvPr id="2" name="Chart 1">
          <a:extLst>
            <a:ext uri="{FF2B5EF4-FFF2-40B4-BE49-F238E27FC236}">
              <a16:creationId xmlns:a16="http://schemas.microsoft.com/office/drawing/2014/main" id="{4FB518A0-4B76-8271-587C-9FF601DE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https://www.bing.com/financeapi/forcetrigger?t=bztea2&amp;q=XNYS%3aDOCN&amp;form=skydnc</v>
    <v>Learn more on Bing</v>
  </rv>
  <rv s="1">
    <v>0</v>
    <v>DigitalOcean Holdings, Inc. (XNYS:DOCN)</v>
    <v>2</v>
    <v>3</v>
    <v>Finance</v>
    <v>4</v>
    <v>en-US</v>
    <v>bztea2</v>
    <v>268435456</v>
    <v>1</v>
    <v>Powered by Refinitiv</v>
    <v>53.88</v>
    <v>23.375</v>
    <v>2.359</v>
    <v>-2.34</v>
    <v>-5.6548999999999995E-2</v>
    <v>USD</v>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40.07</v>
    <v>Software &amp; IT Services</v>
    <v>Stock</v>
    <v>45099.976125046094</v>
    <v>0</v>
    <v>38.6</v>
    <v>3467240780</v>
    <v>DigitalOcean Holdings, Inc.</v>
    <v>DigitalOcean Holdings, Inc.</v>
    <v>39.200000000000003</v>
    <v>0</v>
    <v>41.38</v>
    <v>39.04</v>
    <v>88812520</v>
    <v>DOCN</v>
    <v>DigitalOcean Holdings, Inc. (XNYS:DOCN)</v>
    <v>524</v>
    <v>1547929</v>
    <v>2016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2961/000158296122000010/0001582961-22-000010-index.htm" TargetMode="External"/><Relationship Id="rId13"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finbox.com/NYSE:DOCN/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DOCN"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82961/000158296123000009/0001582961-23-000009-index.htm"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582961/000158296123000009/0001582961-23-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82961/000158296122000010/0001582961-22-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D87" activePane="bottomRight" state="frozen"/>
      <selection pane="topRight"/>
      <selection pane="bottomLeft"/>
      <selection pane="bottomRight" activeCell="E115" sqref="E115"/>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2018</v>
      </c>
      <c r="C1" s="8">
        <v>2019</v>
      </c>
      <c r="D1" s="8">
        <v>2020</v>
      </c>
      <c r="E1" s="8">
        <v>2021</v>
      </c>
      <c r="F1" s="8">
        <v>2022</v>
      </c>
      <c r="G1" s="28">
        <v>2023</v>
      </c>
      <c r="H1" s="28">
        <v>2024</v>
      </c>
      <c r="I1" s="28">
        <v>2025</v>
      </c>
      <c r="J1" s="28">
        <v>2026</v>
      </c>
      <c r="K1" s="28">
        <v>2027</v>
      </c>
    </row>
    <row r="2" spans="1:38" ht="21" x14ac:dyDescent="0.25">
      <c r="A2" s="4" t="s">
        <v>0</v>
      </c>
      <c r="B2" s="9" t="s">
        <v>91</v>
      </c>
      <c r="C2" s="9" t="s">
        <v>91</v>
      </c>
      <c r="D2" s="9" t="s">
        <v>91</v>
      </c>
      <c r="E2" s="9" t="s">
        <v>91</v>
      </c>
      <c r="F2" s="9" t="s">
        <v>91</v>
      </c>
      <c r="G2" s="9" t="s">
        <v>91</v>
      </c>
      <c r="H2" s="9" t="s">
        <v>91</v>
      </c>
      <c r="I2" s="9" t="s">
        <v>91</v>
      </c>
      <c r="J2" s="9"/>
      <c r="K2" s="9"/>
      <c r="L2" s="9"/>
      <c r="M2" s="9"/>
      <c r="N2" s="9"/>
      <c r="O2" s="9"/>
    </row>
    <row r="3" spans="1:38" ht="40" x14ac:dyDescent="0.25">
      <c r="A3" s="5" t="s">
        <v>1</v>
      </c>
      <c r="B3" s="1">
        <v>203136000</v>
      </c>
      <c r="C3" s="1">
        <v>254823000</v>
      </c>
      <c r="D3" s="1">
        <v>318380000</v>
      </c>
      <c r="E3" s="1">
        <v>428561000</v>
      </c>
      <c r="F3" s="1">
        <v>576322000</v>
      </c>
      <c r="G3" s="29">
        <v>708500000</v>
      </c>
      <c r="H3" s="29">
        <v>836100000</v>
      </c>
      <c r="I3" s="29">
        <v>963400000</v>
      </c>
      <c r="J3" s="29">
        <v>1129000000</v>
      </c>
      <c r="K3" s="29">
        <v>1329000000</v>
      </c>
      <c r="L3" s="19" t="s">
        <v>109</v>
      </c>
      <c r="M3" s="20" t="s">
        <v>110</v>
      </c>
      <c r="N3" s="20" t="s">
        <v>111</v>
      </c>
      <c r="O3" s="20" t="s">
        <v>112</v>
      </c>
    </row>
    <row r="4" spans="1:38" ht="19" x14ac:dyDescent="0.25">
      <c r="A4" s="14" t="s">
        <v>94</v>
      </c>
      <c r="B4" s="1"/>
      <c r="C4" s="15">
        <f>(C3/B3)-1</f>
        <v>0.25444529773156899</v>
      </c>
      <c r="D4" s="15">
        <f>(D3/C3)-1</f>
        <v>0.24941626148346097</v>
      </c>
      <c r="E4" s="15">
        <f>(E3/D3)-1</f>
        <v>0.34606759218543881</v>
      </c>
      <c r="F4" s="15">
        <f t="shared" ref="F4:K4" si="0">(F3/E3)-1</f>
        <v>0.34478405641203946</v>
      </c>
      <c r="G4" s="16">
        <f t="shared" si="0"/>
        <v>0.22934748283077866</v>
      </c>
      <c r="H4" s="16">
        <f t="shared" si="0"/>
        <v>0.18009880028228653</v>
      </c>
      <c r="I4" s="16">
        <f t="shared" si="0"/>
        <v>0.15225451501016618</v>
      </c>
      <c r="J4" s="16">
        <f t="shared" si="0"/>
        <v>0.17189121860078882</v>
      </c>
      <c r="K4" s="16">
        <f t="shared" si="0"/>
        <v>0.17714791851195755</v>
      </c>
      <c r="L4" s="17">
        <f>(F4+E4+D4)/3</f>
        <v>0.31342263669364639</v>
      </c>
      <c r="M4" s="17">
        <f>(F20+E20+D20)/3</f>
        <v>0.39063810175572233</v>
      </c>
      <c r="N4" s="17">
        <f>(F29+E29+D29)/3</f>
        <v>-7.6193866073255803E-2</v>
      </c>
      <c r="O4" s="17">
        <f>(F105+E105+D105)/3</f>
        <v>0.33114611230401914</v>
      </c>
      <c r="T4" s="16"/>
      <c r="U4" s="16"/>
      <c r="V4" s="16"/>
      <c r="W4" s="16"/>
      <c r="X4" s="16"/>
      <c r="Y4" s="16"/>
      <c r="Z4" s="16"/>
      <c r="AA4" s="16"/>
      <c r="AB4" s="16"/>
      <c r="AC4" s="16"/>
      <c r="AD4" s="16"/>
      <c r="AE4" s="16"/>
      <c r="AF4" s="16"/>
      <c r="AI4" s="18"/>
      <c r="AJ4" s="18"/>
      <c r="AK4" s="18"/>
      <c r="AL4" s="18"/>
    </row>
    <row r="5" spans="1:38" ht="19" x14ac:dyDescent="0.25">
      <c r="A5" s="5" t="s">
        <v>2</v>
      </c>
      <c r="B5" s="1">
        <v>97042000</v>
      </c>
      <c r="C5" s="1">
        <v>122259000</v>
      </c>
      <c r="D5" s="1">
        <v>145532000</v>
      </c>
      <c r="E5" s="1">
        <v>170595000</v>
      </c>
      <c r="F5" s="1">
        <v>211927000</v>
      </c>
    </row>
    <row r="6" spans="1:38" ht="20" x14ac:dyDescent="0.25">
      <c r="A6" s="6" t="s">
        <v>3</v>
      </c>
      <c r="B6" s="10">
        <v>106094000</v>
      </c>
      <c r="C6" s="10">
        <v>132564000</v>
      </c>
      <c r="D6" s="10">
        <v>172848000</v>
      </c>
      <c r="E6" s="10">
        <v>257966000</v>
      </c>
      <c r="F6" s="10">
        <v>364395000</v>
      </c>
      <c r="L6" s="19" t="s">
        <v>113</v>
      </c>
      <c r="M6" s="20" t="s">
        <v>114</v>
      </c>
      <c r="N6" s="20" t="s">
        <v>115</v>
      </c>
      <c r="O6" s="20" t="s">
        <v>116</v>
      </c>
    </row>
    <row r="7" spans="1:38" ht="19" x14ac:dyDescent="0.25">
      <c r="A7" s="5" t="s">
        <v>4</v>
      </c>
      <c r="B7" s="2">
        <v>0.52229999999999999</v>
      </c>
      <c r="C7" s="2">
        <v>0.5202</v>
      </c>
      <c r="D7" s="2">
        <v>0.54290000000000005</v>
      </c>
      <c r="E7" s="2">
        <v>0.60189999999999999</v>
      </c>
      <c r="F7" s="2">
        <v>0.63229999999999997</v>
      </c>
      <c r="L7" s="17">
        <f>F7</f>
        <v>0.63229999999999997</v>
      </c>
      <c r="M7" s="21">
        <f>F21</f>
        <v>0.14960000000000001</v>
      </c>
      <c r="N7" s="21">
        <f>F30</f>
        <v>-4.2099999999999999E-2</v>
      </c>
      <c r="O7" s="21">
        <f>F106/F3</f>
        <v>0.13002279975430403</v>
      </c>
    </row>
    <row r="8" spans="1:38" ht="19" x14ac:dyDescent="0.25">
      <c r="A8" s="5" t="s">
        <v>5</v>
      </c>
      <c r="B8" s="1">
        <v>44934000</v>
      </c>
      <c r="C8" s="1">
        <v>59973000</v>
      </c>
      <c r="D8" s="1">
        <v>74970000</v>
      </c>
      <c r="E8" s="1">
        <v>115684000</v>
      </c>
      <c r="F8" s="1">
        <v>143885000</v>
      </c>
    </row>
    <row r="9" spans="1:38" ht="19" customHeight="1" x14ac:dyDescent="0.25">
      <c r="A9" s="14" t="s">
        <v>95</v>
      </c>
      <c r="B9" s="15">
        <f>B8/B3</f>
        <v>0.22120155954631379</v>
      </c>
      <c r="C9" s="15">
        <f t="shared" ref="C9:F9" si="1">C8/C3</f>
        <v>0.23535159699085248</v>
      </c>
      <c r="D9" s="15">
        <f t="shared" si="1"/>
        <v>0.2354733337521201</v>
      </c>
      <c r="E9" s="15">
        <f t="shared" si="1"/>
        <v>0.26993590177360982</v>
      </c>
      <c r="F9" s="15">
        <f t="shared" si="1"/>
        <v>0.24966077991123017</v>
      </c>
      <c r="G9" s="15"/>
      <c r="H9" s="15"/>
      <c r="L9" s="19" t="s">
        <v>96</v>
      </c>
      <c r="M9" s="20" t="s">
        <v>97</v>
      </c>
      <c r="N9" s="20" t="s">
        <v>98</v>
      </c>
      <c r="O9" s="20" t="s">
        <v>99</v>
      </c>
    </row>
    <row r="10" spans="1:38" ht="19" x14ac:dyDescent="0.25">
      <c r="A10" s="5" t="s">
        <v>6</v>
      </c>
      <c r="B10" s="1">
        <v>59009000</v>
      </c>
      <c r="C10" s="1">
        <v>71156000</v>
      </c>
      <c r="D10" s="1">
        <v>80197000</v>
      </c>
      <c r="E10" s="1">
        <v>102590000</v>
      </c>
      <c r="F10" s="1">
        <v>165185000</v>
      </c>
      <c r="L10" s="17">
        <f>F9</f>
        <v>0.24966077991123017</v>
      </c>
      <c r="M10" s="21">
        <f>F13</f>
        <v>0.42810963315646461</v>
      </c>
      <c r="N10" s="21">
        <f>F80</f>
        <v>0.18362824948553066</v>
      </c>
      <c r="O10" s="21">
        <f>F89</f>
        <v>0</v>
      </c>
    </row>
    <row r="11" spans="1:38" ht="19" x14ac:dyDescent="0.25">
      <c r="A11" s="5" t="s">
        <v>7</v>
      </c>
      <c r="B11" s="1">
        <v>29445000</v>
      </c>
      <c r="C11" s="1">
        <v>31340000</v>
      </c>
      <c r="D11" s="1">
        <v>33472000</v>
      </c>
      <c r="E11" s="1">
        <v>50878000</v>
      </c>
      <c r="F11" s="1">
        <v>81544000</v>
      </c>
    </row>
    <row r="12" spans="1:38" ht="20" x14ac:dyDescent="0.25">
      <c r="A12" s="5" t="s">
        <v>8</v>
      </c>
      <c r="B12" s="1">
        <v>88454000</v>
      </c>
      <c r="C12" s="1">
        <v>102496000</v>
      </c>
      <c r="D12" s="1">
        <v>113669000</v>
      </c>
      <c r="E12" s="1">
        <v>153468000</v>
      </c>
      <c r="F12" s="1">
        <v>246729000</v>
      </c>
      <c r="L12" s="19" t="s">
        <v>117</v>
      </c>
      <c r="M12" s="20" t="s">
        <v>118</v>
      </c>
      <c r="N12" s="20" t="s">
        <v>119</v>
      </c>
      <c r="O12" s="20" t="s">
        <v>120</v>
      </c>
    </row>
    <row r="13" spans="1:38" ht="19" x14ac:dyDescent="0.25">
      <c r="A13" s="14" t="s">
        <v>100</v>
      </c>
      <c r="B13" s="15">
        <f>B12/B3</f>
        <v>0.43544226528040325</v>
      </c>
      <c r="C13" s="15">
        <f t="shared" ref="C13:F13" si="2">C12/C3</f>
        <v>0.40222428901629759</v>
      </c>
      <c r="D13" s="15">
        <f t="shared" si="2"/>
        <v>0.35702305421194797</v>
      </c>
      <c r="E13" s="15">
        <f t="shared" si="2"/>
        <v>0.35810071378403541</v>
      </c>
      <c r="F13" s="15">
        <f t="shared" si="2"/>
        <v>0.42810963315646461</v>
      </c>
      <c r="G13" s="15"/>
      <c r="H13" s="15"/>
      <c r="L13" s="17">
        <f>F28/F72</f>
        <v>-0.47529849285574477</v>
      </c>
      <c r="M13" s="21">
        <f>F28/F54</f>
        <v>-1.3372373490286953E-2</v>
      </c>
      <c r="N13" s="21">
        <f>F22/(F72+F56+F61)</f>
        <v>-1.5539164989909825E-2</v>
      </c>
      <c r="O13" s="22">
        <f>F67/F72</f>
        <v>34.543315717361516</v>
      </c>
    </row>
    <row r="14" spans="1:38" ht="19" x14ac:dyDescent="0.25">
      <c r="A14" s="5" t="s">
        <v>9</v>
      </c>
      <c r="B14" s="1" t="s">
        <v>92</v>
      </c>
      <c r="C14" s="1" t="s">
        <v>92</v>
      </c>
      <c r="D14" s="1" t="s">
        <v>92</v>
      </c>
      <c r="E14" s="1" t="s">
        <v>92</v>
      </c>
      <c r="F14" s="1" t="s">
        <v>92</v>
      </c>
    </row>
    <row r="15" spans="1:38" ht="20" x14ac:dyDescent="0.25">
      <c r="A15" s="5" t="s">
        <v>10</v>
      </c>
      <c r="B15" s="1">
        <v>133388000</v>
      </c>
      <c r="C15" s="1">
        <v>162469000</v>
      </c>
      <c r="D15" s="1">
        <v>188639000</v>
      </c>
      <c r="E15" s="1">
        <v>269152000</v>
      </c>
      <c r="F15" s="1">
        <v>390614000</v>
      </c>
      <c r="L15" s="19" t="s">
        <v>121</v>
      </c>
      <c r="M15" s="20" t="s">
        <v>122</v>
      </c>
      <c r="N15" s="20" t="s">
        <v>123</v>
      </c>
      <c r="O15" s="20" t="s">
        <v>124</v>
      </c>
    </row>
    <row r="16" spans="1:38" ht="19" x14ac:dyDescent="0.25">
      <c r="A16" s="5" t="s">
        <v>11</v>
      </c>
      <c r="B16" s="1">
        <v>230430000</v>
      </c>
      <c r="C16" s="1">
        <v>284728000</v>
      </c>
      <c r="D16" s="1">
        <v>334171000</v>
      </c>
      <c r="E16" s="1">
        <v>439747000</v>
      </c>
      <c r="F16" s="1">
        <v>602541000</v>
      </c>
      <c r="L16" s="30">
        <f>(F35+E35+D35+C35+B35)/5</f>
        <v>3.0254490900453644E-2</v>
      </c>
      <c r="M16" s="64">
        <f>N101/F3</f>
        <v>6.0161520469459777</v>
      </c>
      <c r="N16" s="64">
        <f>N101/F28</f>
        <v>-142.7846962895853</v>
      </c>
      <c r="O16" s="65">
        <f>N101/F106</f>
        <v>46.269977714018815</v>
      </c>
    </row>
    <row r="17" spans="1:15" ht="19" x14ac:dyDescent="0.25">
      <c r="A17" s="5" t="s">
        <v>12</v>
      </c>
      <c r="B17" s="1">
        <v>6312000</v>
      </c>
      <c r="C17" s="1">
        <v>9356000</v>
      </c>
      <c r="D17" s="1">
        <v>13610000</v>
      </c>
      <c r="E17" s="1">
        <v>3744000</v>
      </c>
      <c r="F17" s="1">
        <v>8396000</v>
      </c>
    </row>
    <row r="18" spans="1:15" ht="20" x14ac:dyDescent="0.25">
      <c r="A18" s="5" t="s">
        <v>13</v>
      </c>
      <c r="B18" s="1">
        <v>52415000</v>
      </c>
      <c r="C18" s="1">
        <v>63081000</v>
      </c>
      <c r="D18" s="1">
        <v>75574000</v>
      </c>
      <c r="E18" s="1">
        <v>88372000</v>
      </c>
      <c r="F18" s="1">
        <v>102232000</v>
      </c>
      <c r="L18" s="19" t="s">
        <v>125</v>
      </c>
      <c r="M18" s="20" t="s">
        <v>160</v>
      </c>
      <c r="N18" s="20" t="s">
        <v>162</v>
      </c>
      <c r="O18" s="20" t="s">
        <v>161</v>
      </c>
    </row>
    <row r="19" spans="1:15" ht="19" x14ac:dyDescent="0.25">
      <c r="A19" s="6" t="s">
        <v>14</v>
      </c>
      <c r="B19" s="10">
        <v>23949000</v>
      </c>
      <c r="C19" s="10">
        <v>32840000</v>
      </c>
      <c r="D19" s="10">
        <v>46527000</v>
      </c>
      <c r="E19" s="10">
        <v>73915000</v>
      </c>
      <c r="F19" s="10">
        <v>86221000</v>
      </c>
      <c r="G19" s="61">
        <v>271700000</v>
      </c>
      <c r="H19" s="61">
        <v>341600000</v>
      </c>
      <c r="I19" s="61">
        <v>397100000</v>
      </c>
      <c r="J19" s="61">
        <v>458900000</v>
      </c>
      <c r="K19" s="61">
        <v>535600000</v>
      </c>
      <c r="L19" s="31">
        <f>F40-F56-F61</f>
        <v>-771961000</v>
      </c>
      <c r="M19" s="64">
        <f>N101/G3</f>
        <v>4.89377668313338</v>
      </c>
      <c r="N19" s="64">
        <f>N101/G28</f>
        <v>19.435206165919283</v>
      </c>
      <c r="O19" s="65">
        <f>N101/G105</f>
        <v>23.699526862611073</v>
      </c>
    </row>
    <row r="20" spans="1:15" ht="19" customHeight="1" x14ac:dyDescent="0.25">
      <c r="A20" s="14" t="s">
        <v>101</v>
      </c>
      <c r="B20" s="1"/>
      <c r="C20" s="15">
        <f>(C19/B19)-1</f>
        <v>0.37124723370495638</v>
      </c>
      <c r="D20" s="15">
        <f>(D19/C19)-1</f>
        <v>0.41677831912302077</v>
      </c>
      <c r="E20" s="15">
        <f>(E19/D19)-1</f>
        <v>0.58864745201710833</v>
      </c>
      <c r="F20" s="15">
        <f t="shared" ref="F20" si="3">(F19/E19)-1</f>
        <v>0.1664885341270379</v>
      </c>
      <c r="G20" s="16">
        <f t="shared" ref="G20" si="4">(G19/F19)-1</f>
        <v>2.1512044629498615</v>
      </c>
      <c r="H20" s="16">
        <f t="shared" ref="H20" si="5">(H19/G19)-1</f>
        <v>0.25726904674273099</v>
      </c>
      <c r="I20" s="16">
        <f t="shared" ref="I20" si="6">(I19/H19)-1</f>
        <v>0.1624707259953162</v>
      </c>
      <c r="J20" s="16">
        <f t="shared" ref="J20" si="7">(J19/I19)-1</f>
        <v>0.15562830521279269</v>
      </c>
      <c r="K20" s="16">
        <f t="shared" ref="K20" si="8">(K19/J19)-1</f>
        <v>0.16713881019830024</v>
      </c>
    </row>
    <row r="21" spans="1:15" ht="19" x14ac:dyDescent="0.25">
      <c r="A21" s="5" t="s">
        <v>15</v>
      </c>
      <c r="B21" s="2">
        <v>0.1179</v>
      </c>
      <c r="C21" s="2">
        <v>0.12889999999999999</v>
      </c>
      <c r="D21" s="2">
        <v>0.14610000000000001</v>
      </c>
      <c r="E21" s="2">
        <v>0.17249999999999999</v>
      </c>
      <c r="F21" s="2">
        <v>0.14960000000000001</v>
      </c>
      <c r="G21" s="62">
        <f>G19/G3</f>
        <v>0.38348623853211011</v>
      </c>
      <c r="H21" s="62">
        <f t="shared" ref="H21:K21" si="9">H19/H3</f>
        <v>0.40856356895108242</v>
      </c>
      <c r="I21" s="62">
        <f t="shared" si="9"/>
        <v>0.41218600788872745</v>
      </c>
      <c r="J21" s="62">
        <f t="shared" si="9"/>
        <v>0.40646589902568647</v>
      </c>
      <c r="K21" s="62">
        <f t="shared" si="9"/>
        <v>0.40300978179082014</v>
      </c>
    </row>
    <row r="22" spans="1:15" ht="19" x14ac:dyDescent="0.25">
      <c r="A22" s="6" t="s">
        <v>16</v>
      </c>
      <c r="B22" s="10">
        <v>-27294000</v>
      </c>
      <c r="C22" s="10">
        <v>-29905000</v>
      </c>
      <c r="D22" s="10">
        <v>-15791000</v>
      </c>
      <c r="E22" s="10">
        <v>-11186000</v>
      </c>
      <c r="F22" s="10">
        <v>-26219000</v>
      </c>
    </row>
    <row r="23" spans="1:15" ht="19" x14ac:dyDescent="0.25">
      <c r="A23" s="5" t="s">
        <v>17</v>
      </c>
      <c r="B23" s="2">
        <v>-0.13439999999999999</v>
      </c>
      <c r="C23" s="2">
        <v>-0.1174</v>
      </c>
      <c r="D23" s="2">
        <v>-4.9599999999999998E-2</v>
      </c>
      <c r="E23" s="2">
        <v>-2.6100000000000002E-2</v>
      </c>
      <c r="F23" s="2">
        <v>-4.5499999999999999E-2</v>
      </c>
    </row>
    <row r="24" spans="1:15" ht="19" x14ac:dyDescent="0.25">
      <c r="A24" s="5" t="s">
        <v>18</v>
      </c>
      <c r="B24" s="1">
        <v>-7484000</v>
      </c>
      <c r="C24" s="1">
        <v>-9692000</v>
      </c>
      <c r="D24" s="1">
        <v>-26866000</v>
      </c>
      <c r="E24" s="1">
        <v>-7015000</v>
      </c>
      <c r="F24" s="1">
        <v>1812000</v>
      </c>
    </row>
    <row r="25" spans="1:15" ht="19" x14ac:dyDescent="0.25">
      <c r="A25" s="6" t="s">
        <v>19</v>
      </c>
      <c r="B25" s="10">
        <v>-34778000</v>
      </c>
      <c r="C25" s="10">
        <v>-39597000</v>
      </c>
      <c r="D25" s="10">
        <v>-42657000</v>
      </c>
      <c r="E25" s="10">
        <v>-18201000</v>
      </c>
      <c r="F25" s="10">
        <v>-24407000</v>
      </c>
    </row>
    <row r="26" spans="1:15" ht="19" x14ac:dyDescent="0.25">
      <c r="A26" s="5" t="s">
        <v>20</v>
      </c>
      <c r="B26" s="2">
        <v>-0.17119999999999999</v>
      </c>
      <c r="C26" s="2">
        <v>-0.15540000000000001</v>
      </c>
      <c r="D26" s="2">
        <v>-0.13400000000000001</v>
      </c>
      <c r="E26" s="2">
        <v>-4.2500000000000003E-2</v>
      </c>
      <c r="F26" s="2">
        <v>-4.2299999999999997E-2</v>
      </c>
    </row>
    <row r="27" spans="1:15" ht="19" x14ac:dyDescent="0.25">
      <c r="A27" s="5" t="s">
        <v>21</v>
      </c>
      <c r="B27" s="1">
        <v>1221000</v>
      </c>
      <c r="C27" s="1">
        <v>793000</v>
      </c>
      <c r="D27" s="1">
        <v>911000</v>
      </c>
      <c r="E27" s="1">
        <v>1302000</v>
      </c>
      <c r="F27" s="1">
        <v>-124000</v>
      </c>
    </row>
    <row r="28" spans="1:15" ht="20" thickBot="1" x14ac:dyDescent="0.3">
      <c r="A28" s="7" t="s">
        <v>22</v>
      </c>
      <c r="B28" s="11">
        <v>-35999000</v>
      </c>
      <c r="C28" s="11">
        <v>-40390000</v>
      </c>
      <c r="D28" s="11">
        <v>-43568000</v>
      </c>
      <c r="E28" s="11">
        <v>-19503000</v>
      </c>
      <c r="F28" s="11">
        <v>-24283000</v>
      </c>
      <c r="G28" s="58">
        <v>178400000</v>
      </c>
      <c r="H28" s="58">
        <v>223500000</v>
      </c>
      <c r="I28" s="58">
        <v>272200000</v>
      </c>
      <c r="J28" s="58">
        <v>357800000</v>
      </c>
      <c r="K28" s="58">
        <v>431200000</v>
      </c>
    </row>
    <row r="29" spans="1:15" ht="20" customHeight="1" thickTop="1" x14ac:dyDescent="0.25">
      <c r="A29" s="14" t="s">
        <v>102</v>
      </c>
      <c r="B29" s="1"/>
      <c r="C29" s="15">
        <f>(C28/B28)-1</f>
        <v>0.12197561043362315</v>
      </c>
      <c r="D29" s="15">
        <f>(D28/C28)-1</f>
        <v>7.8682842287695065E-2</v>
      </c>
      <c r="E29" s="15">
        <f>(E28/D28)-1</f>
        <v>-0.55235493940506797</v>
      </c>
      <c r="F29" s="15">
        <f t="shared" ref="F29" si="10">(F28/E28)-1</f>
        <v>0.24509049889760548</v>
      </c>
      <c r="G29" s="16">
        <f t="shared" ref="G29" si="11">(G28/F28)-1</f>
        <v>-8.3467034550920403</v>
      </c>
      <c r="H29" s="16">
        <f t="shared" ref="H29" si="12">(H28/G28)-1</f>
        <v>0.25280269058295968</v>
      </c>
      <c r="I29" s="16">
        <f t="shared" ref="I29" si="13">(I28/H28)-1</f>
        <v>0.21789709172259508</v>
      </c>
      <c r="J29" s="16">
        <f t="shared" ref="J29" si="14">(J28/I28)-1</f>
        <v>0.31447465099191763</v>
      </c>
      <c r="K29" s="16">
        <f t="shared" ref="K29" si="15">(K28/J28)-1</f>
        <v>0.20514253773057578</v>
      </c>
    </row>
    <row r="30" spans="1:15" ht="19" x14ac:dyDescent="0.25">
      <c r="A30" s="5" t="s">
        <v>23</v>
      </c>
      <c r="B30" s="2">
        <v>-0.1772</v>
      </c>
      <c r="C30" s="2">
        <v>-0.1585</v>
      </c>
      <c r="D30" s="2">
        <v>-0.1368</v>
      </c>
      <c r="E30" s="2">
        <v>-4.5499999999999999E-2</v>
      </c>
      <c r="F30" s="2">
        <v>-4.2099999999999999E-2</v>
      </c>
      <c r="G30" s="59">
        <f>G28/G3</f>
        <v>0.25179957657021879</v>
      </c>
      <c r="H30" s="59">
        <f t="shared" ref="H30:K30" si="16">H28/H3</f>
        <v>0.26731252242554721</v>
      </c>
      <c r="I30" s="59">
        <f t="shared" si="16"/>
        <v>0.28254100062279425</v>
      </c>
      <c r="J30" s="59">
        <f t="shared" si="16"/>
        <v>0.31691762621789193</v>
      </c>
      <c r="K30" s="59">
        <f t="shared" si="16"/>
        <v>0.32445447705041386</v>
      </c>
    </row>
    <row r="31" spans="1:15" ht="19" x14ac:dyDescent="0.25">
      <c r="A31" s="5" t="s">
        <v>24</v>
      </c>
      <c r="B31" s="12">
        <v>-0.41</v>
      </c>
      <c r="C31" s="12">
        <v>-0.46</v>
      </c>
      <c r="D31" s="12">
        <v>-0.5</v>
      </c>
      <c r="E31" s="12">
        <v>-0.21</v>
      </c>
      <c r="F31" s="12">
        <v>-0.24</v>
      </c>
      <c r="G31" s="60">
        <v>2.0099999999999998</v>
      </c>
      <c r="H31" s="60">
        <v>2.52</v>
      </c>
      <c r="I31" s="60">
        <v>3.06</v>
      </c>
      <c r="J31" s="60">
        <v>4.03</v>
      </c>
      <c r="K31" s="60">
        <v>4.8600000000000003</v>
      </c>
    </row>
    <row r="32" spans="1:15" ht="19" x14ac:dyDescent="0.25">
      <c r="A32" s="5" t="s">
        <v>25</v>
      </c>
      <c r="B32" s="12">
        <v>-0.41</v>
      </c>
      <c r="C32" s="12">
        <v>-0.46</v>
      </c>
      <c r="D32" s="12">
        <v>-0.5</v>
      </c>
      <c r="E32" s="12">
        <v>-0.21</v>
      </c>
      <c r="F32" s="12">
        <v>-0.24</v>
      </c>
    </row>
    <row r="33" spans="1:6" ht="19" x14ac:dyDescent="0.25">
      <c r="A33" s="5" t="s">
        <v>26</v>
      </c>
      <c r="B33" s="1">
        <v>87130000</v>
      </c>
      <c r="C33" s="1">
        <v>87130000</v>
      </c>
      <c r="D33" s="1">
        <v>87130000</v>
      </c>
      <c r="E33" s="1">
        <v>93224000</v>
      </c>
      <c r="F33" s="1">
        <v>100806000</v>
      </c>
    </row>
    <row r="34" spans="1:6" ht="19" x14ac:dyDescent="0.25">
      <c r="A34" s="5" t="s">
        <v>27</v>
      </c>
      <c r="B34" s="1">
        <v>87130000</v>
      </c>
      <c r="C34" s="1">
        <v>87130000</v>
      </c>
      <c r="D34" s="1">
        <v>87130000</v>
      </c>
      <c r="E34" s="1">
        <v>93224000</v>
      </c>
      <c r="F34" s="1">
        <v>100806000</v>
      </c>
    </row>
    <row r="35" spans="1:6" ht="20" customHeight="1" x14ac:dyDescent="0.25">
      <c r="A35" s="14" t="s">
        <v>103</v>
      </c>
      <c r="B35" s="1"/>
      <c r="C35" s="23">
        <f>(C34-B34)/B34</f>
        <v>0</v>
      </c>
      <c r="D35" s="23">
        <f t="shared" ref="D35:F35" si="17">(D34-C34)/C34</f>
        <v>0</v>
      </c>
      <c r="E35" s="23">
        <f t="shared" si="17"/>
        <v>6.9941466773786293E-2</v>
      </c>
      <c r="F35" s="23">
        <f t="shared" si="17"/>
        <v>8.1330987728481935E-2</v>
      </c>
    </row>
    <row r="36" spans="1:6" ht="19" x14ac:dyDescent="0.25">
      <c r="A36" s="5" t="s">
        <v>28</v>
      </c>
      <c r="B36" s="13" t="s">
        <v>93</v>
      </c>
      <c r="C36" s="13" t="s">
        <v>93</v>
      </c>
      <c r="D36" s="13" t="s">
        <v>93</v>
      </c>
      <c r="E36" s="13" t="s">
        <v>93</v>
      </c>
      <c r="F36" s="13" t="s">
        <v>93</v>
      </c>
    </row>
    <row r="37" spans="1:6" ht="21" x14ac:dyDescent="0.25">
      <c r="A37" s="4" t="s">
        <v>29</v>
      </c>
      <c r="B37" s="9" t="s">
        <v>91</v>
      </c>
      <c r="C37" s="9" t="s">
        <v>91</v>
      </c>
      <c r="D37" s="9" t="s">
        <v>91</v>
      </c>
      <c r="E37" s="9" t="s">
        <v>91</v>
      </c>
      <c r="F37" s="9" t="s">
        <v>91</v>
      </c>
    </row>
    <row r="38" spans="1:6" ht="19" x14ac:dyDescent="0.25">
      <c r="A38" s="5" t="s">
        <v>30</v>
      </c>
      <c r="B38" s="1" t="s">
        <v>92</v>
      </c>
      <c r="C38" s="1">
        <v>32906000</v>
      </c>
      <c r="D38" s="1">
        <v>100311000</v>
      </c>
      <c r="E38" s="1">
        <v>1713387000</v>
      </c>
      <c r="F38" s="1">
        <v>140772000</v>
      </c>
    </row>
    <row r="39" spans="1:6" ht="19" x14ac:dyDescent="0.25">
      <c r="A39" s="5" t="s">
        <v>31</v>
      </c>
      <c r="B39" s="1" t="s">
        <v>92</v>
      </c>
      <c r="C39" s="1" t="s">
        <v>92</v>
      </c>
      <c r="D39" s="1" t="s">
        <v>92</v>
      </c>
      <c r="E39" s="1" t="s">
        <v>92</v>
      </c>
      <c r="F39" s="1">
        <v>723462000</v>
      </c>
    </row>
    <row r="40" spans="1:6" ht="19" x14ac:dyDescent="0.25">
      <c r="A40" s="5" t="s">
        <v>32</v>
      </c>
      <c r="B40" s="1" t="s">
        <v>92</v>
      </c>
      <c r="C40" s="1">
        <v>32906000</v>
      </c>
      <c r="D40" s="1">
        <v>100311000</v>
      </c>
      <c r="E40" s="1">
        <v>1713387000</v>
      </c>
      <c r="F40" s="1">
        <v>864234000</v>
      </c>
    </row>
    <row r="41" spans="1:6" ht="19" x14ac:dyDescent="0.25">
      <c r="A41" s="5" t="s">
        <v>33</v>
      </c>
      <c r="B41" s="1" t="s">
        <v>92</v>
      </c>
      <c r="C41" s="1">
        <v>23982000</v>
      </c>
      <c r="D41" s="1">
        <v>38272000</v>
      </c>
      <c r="E41" s="1">
        <v>39619000</v>
      </c>
      <c r="F41" s="1">
        <v>53833000</v>
      </c>
    </row>
    <row r="42" spans="1:6" ht="19" x14ac:dyDescent="0.25">
      <c r="A42" s="5" t="s">
        <v>34</v>
      </c>
      <c r="B42" s="1" t="s">
        <v>92</v>
      </c>
      <c r="C42" s="1" t="s">
        <v>92</v>
      </c>
      <c r="D42" s="1" t="s">
        <v>92</v>
      </c>
      <c r="E42" s="1" t="s">
        <v>92</v>
      </c>
      <c r="F42" s="1" t="s">
        <v>92</v>
      </c>
    </row>
    <row r="43" spans="1:6" ht="19" x14ac:dyDescent="0.25">
      <c r="A43" s="5" t="s">
        <v>35</v>
      </c>
      <c r="B43" s="1" t="s">
        <v>92</v>
      </c>
      <c r="C43" s="1">
        <v>3736000</v>
      </c>
      <c r="D43" s="1">
        <v>9370000</v>
      </c>
      <c r="E43" s="1">
        <v>17050000</v>
      </c>
      <c r="F43" s="1">
        <v>28485000</v>
      </c>
    </row>
    <row r="44" spans="1:6" ht="19" x14ac:dyDescent="0.25">
      <c r="A44" s="6" t="s">
        <v>36</v>
      </c>
      <c r="B44" s="10" t="s">
        <v>92</v>
      </c>
      <c r="C44" s="10">
        <v>60624000</v>
      </c>
      <c r="D44" s="10">
        <v>147953000</v>
      </c>
      <c r="E44" s="10">
        <v>1770056000</v>
      </c>
      <c r="F44" s="10">
        <v>946552000</v>
      </c>
    </row>
    <row r="45" spans="1:6" ht="19" x14ac:dyDescent="0.25">
      <c r="A45" s="5" t="s">
        <v>37</v>
      </c>
      <c r="B45" s="1" t="s">
        <v>92</v>
      </c>
      <c r="C45" s="1">
        <v>205916000</v>
      </c>
      <c r="D45" s="1">
        <v>238956000</v>
      </c>
      <c r="E45" s="1">
        <v>249643000</v>
      </c>
      <c r="F45" s="1">
        <v>427671000</v>
      </c>
    </row>
    <row r="46" spans="1:6" ht="19" x14ac:dyDescent="0.25">
      <c r="A46" s="5" t="s">
        <v>38</v>
      </c>
      <c r="B46" s="1" t="s">
        <v>92</v>
      </c>
      <c r="C46" s="1">
        <v>2674000</v>
      </c>
      <c r="D46" s="1">
        <v>2674000</v>
      </c>
      <c r="E46" s="1">
        <v>32170000</v>
      </c>
      <c r="F46" s="1">
        <v>313718000</v>
      </c>
    </row>
    <row r="47" spans="1:6" ht="19" x14ac:dyDescent="0.25">
      <c r="A47" s="5" t="s">
        <v>39</v>
      </c>
      <c r="B47" s="1" t="s">
        <v>92</v>
      </c>
      <c r="C47" s="1">
        <v>29835000</v>
      </c>
      <c r="D47" s="1">
        <v>34649000</v>
      </c>
      <c r="E47" s="1">
        <v>42915000</v>
      </c>
      <c r="F47" s="1">
        <v>118928000</v>
      </c>
    </row>
    <row r="48" spans="1:6" ht="19" x14ac:dyDescent="0.25">
      <c r="A48" s="5" t="s">
        <v>40</v>
      </c>
      <c r="B48" s="1" t="s">
        <v>92</v>
      </c>
      <c r="C48" s="1">
        <v>32509000</v>
      </c>
      <c r="D48" s="1">
        <v>37323000</v>
      </c>
      <c r="E48" s="1">
        <v>75085000</v>
      </c>
      <c r="F48" s="1">
        <v>432646000</v>
      </c>
    </row>
    <row r="49" spans="1:6" ht="19" x14ac:dyDescent="0.25">
      <c r="A49" s="5" t="s">
        <v>41</v>
      </c>
      <c r="B49" s="1" t="s">
        <v>92</v>
      </c>
      <c r="C49" s="1" t="s">
        <v>92</v>
      </c>
      <c r="D49" s="1" t="s">
        <v>92</v>
      </c>
      <c r="E49" s="1" t="s">
        <v>92</v>
      </c>
      <c r="F49" s="1" t="s">
        <v>92</v>
      </c>
    </row>
    <row r="50" spans="1:6" ht="19" x14ac:dyDescent="0.25">
      <c r="A50" s="5" t="s">
        <v>42</v>
      </c>
      <c r="B50" s="1" t="s">
        <v>92</v>
      </c>
      <c r="C50" s="1">
        <v>129000</v>
      </c>
      <c r="D50" s="1">
        <v>82000</v>
      </c>
      <c r="E50" s="1">
        <v>88000</v>
      </c>
      <c r="F50" s="1">
        <v>751000</v>
      </c>
    </row>
    <row r="51" spans="1:6" ht="19" x14ac:dyDescent="0.25">
      <c r="A51" s="5" t="s">
        <v>43</v>
      </c>
      <c r="B51" s="1" t="s">
        <v>92</v>
      </c>
      <c r="C51" s="1">
        <v>3307000</v>
      </c>
      <c r="D51" s="1">
        <v>5938000</v>
      </c>
      <c r="E51" s="1">
        <v>6123000</v>
      </c>
      <c r="F51" s="1">
        <v>8288000</v>
      </c>
    </row>
    <row r="52" spans="1:6" ht="19" x14ac:dyDescent="0.25">
      <c r="A52" s="5" t="s">
        <v>44</v>
      </c>
      <c r="B52" s="1" t="s">
        <v>92</v>
      </c>
      <c r="C52" s="1">
        <v>241861000</v>
      </c>
      <c r="D52" s="1">
        <v>282299000</v>
      </c>
      <c r="E52" s="1">
        <v>330939000</v>
      </c>
      <c r="F52" s="1">
        <v>869356000</v>
      </c>
    </row>
    <row r="53" spans="1:6" ht="19" x14ac:dyDescent="0.25">
      <c r="A53" s="5" t="s">
        <v>45</v>
      </c>
      <c r="B53" s="1" t="s">
        <v>92</v>
      </c>
      <c r="C53" s="1" t="s">
        <v>92</v>
      </c>
      <c r="D53" s="1" t="s">
        <v>92</v>
      </c>
      <c r="E53" s="1" t="s">
        <v>92</v>
      </c>
      <c r="F53" s="1" t="s">
        <v>92</v>
      </c>
    </row>
    <row r="54" spans="1:6" ht="20" thickBot="1" x14ac:dyDescent="0.3">
      <c r="A54" s="7" t="s">
        <v>46</v>
      </c>
      <c r="B54" s="11" t="s">
        <v>92</v>
      </c>
      <c r="C54" s="11">
        <v>302485000</v>
      </c>
      <c r="D54" s="11">
        <v>430252000</v>
      </c>
      <c r="E54" s="11">
        <v>2100995000</v>
      </c>
      <c r="F54" s="11">
        <v>1815908000</v>
      </c>
    </row>
    <row r="55" spans="1:6" ht="20" thickTop="1" x14ac:dyDescent="0.25">
      <c r="A55" s="5" t="s">
        <v>47</v>
      </c>
      <c r="B55" s="1" t="s">
        <v>92</v>
      </c>
      <c r="C55" s="1">
        <v>27236000</v>
      </c>
      <c r="D55" s="1">
        <v>12433000</v>
      </c>
      <c r="E55" s="1">
        <v>12657000</v>
      </c>
      <c r="F55" s="1">
        <v>21138000</v>
      </c>
    </row>
    <row r="56" spans="1:6" ht="19" x14ac:dyDescent="0.25">
      <c r="A56" s="5" t="s">
        <v>48</v>
      </c>
      <c r="B56" s="1" t="s">
        <v>92</v>
      </c>
      <c r="C56" s="1">
        <v>15157000</v>
      </c>
      <c r="D56" s="1">
        <v>17468000</v>
      </c>
      <c r="E56" s="1" t="s">
        <v>92</v>
      </c>
      <c r="F56" s="1">
        <v>57682000</v>
      </c>
    </row>
    <row r="57" spans="1:6" ht="19" x14ac:dyDescent="0.25">
      <c r="A57" s="5" t="s">
        <v>49</v>
      </c>
      <c r="B57" s="1" t="s">
        <v>92</v>
      </c>
      <c r="C57" s="1">
        <v>7305000</v>
      </c>
      <c r="D57" s="1">
        <v>7758000</v>
      </c>
      <c r="E57" s="1">
        <v>6755000</v>
      </c>
      <c r="F57" s="1" t="s">
        <v>92</v>
      </c>
    </row>
    <row r="58" spans="1:6" ht="19" x14ac:dyDescent="0.25">
      <c r="A58" s="5" t="s">
        <v>50</v>
      </c>
      <c r="B58" s="1" t="s">
        <v>92</v>
      </c>
      <c r="C58" s="1">
        <v>4306000</v>
      </c>
      <c r="D58" s="1">
        <v>4873000</v>
      </c>
      <c r="E58" s="1">
        <v>4826000</v>
      </c>
      <c r="F58" s="1">
        <v>5550000</v>
      </c>
    </row>
    <row r="59" spans="1:6" ht="19" x14ac:dyDescent="0.25">
      <c r="A59" s="5" t="s">
        <v>51</v>
      </c>
      <c r="B59" s="1" t="s">
        <v>92</v>
      </c>
      <c r="C59" s="1">
        <v>18533000</v>
      </c>
      <c r="D59" s="1">
        <v>42253000</v>
      </c>
      <c r="E59" s="1">
        <v>34001000</v>
      </c>
      <c r="F59" s="1">
        <v>79900000</v>
      </c>
    </row>
    <row r="60" spans="1:6" ht="19" x14ac:dyDescent="0.25">
      <c r="A60" s="6" t="s">
        <v>52</v>
      </c>
      <c r="B60" s="10" t="s">
        <v>92</v>
      </c>
      <c r="C60" s="10">
        <v>72537000</v>
      </c>
      <c r="D60" s="10">
        <v>84785000</v>
      </c>
      <c r="E60" s="10">
        <v>58239000</v>
      </c>
      <c r="F60" s="10">
        <v>164270000</v>
      </c>
    </row>
    <row r="61" spans="1:6" ht="19" x14ac:dyDescent="0.25">
      <c r="A61" s="5" t="s">
        <v>53</v>
      </c>
      <c r="B61" s="1" t="s">
        <v>92</v>
      </c>
      <c r="C61" s="1">
        <v>173040000</v>
      </c>
      <c r="D61" s="1">
        <v>242215000</v>
      </c>
      <c r="E61" s="1">
        <v>1462676000</v>
      </c>
      <c r="F61" s="1">
        <v>1578513000</v>
      </c>
    </row>
    <row r="62" spans="1:6" ht="19" x14ac:dyDescent="0.25">
      <c r="A62" s="5" t="s">
        <v>50</v>
      </c>
      <c r="B62" s="1" t="s">
        <v>92</v>
      </c>
      <c r="C62" s="1" t="s">
        <v>92</v>
      </c>
      <c r="D62" s="1" t="s">
        <v>92</v>
      </c>
      <c r="E62" s="1" t="s">
        <v>92</v>
      </c>
      <c r="F62" s="1" t="s">
        <v>92</v>
      </c>
    </row>
    <row r="63" spans="1:6" ht="19" x14ac:dyDescent="0.25">
      <c r="A63" s="5" t="s">
        <v>54</v>
      </c>
      <c r="B63" s="1" t="s">
        <v>92</v>
      </c>
      <c r="C63" s="1">
        <v>177000</v>
      </c>
      <c r="D63" s="1">
        <v>211000</v>
      </c>
      <c r="E63" s="1">
        <v>421000</v>
      </c>
      <c r="F63" s="1">
        <v>18209000</v>
      </c>
    </row>
    <row r="64" spans="1:6" ht="19" x14ac:dyDescent="0.25">
      <c r="A64" s="5" t="s">
        <v>55</v>
      </c>
      <c r="B64" s="1" t="s">
        <v>92</v>
      </c>
      <c r="C64" s="1">
        <v>129011000</v>
      </c>
      <c r="D64" s="1">
        <v>175135000</v>
      </c>
      <c r="E64" s="1">
        <v>1462000</v>
      </c>
      <c r="F64" s="1">
        <v>3826000</v>
      </c>
    </row>
    <row r="65" spans="1:6" ht="19" x14ac:dyDescent="0.25">
      <c r="A65" s="5" t="s">
        <v>56</v>
      </c>
      <c r="B65" s="1" t="s">
        <v>92</v>
      </c>
      <c r="C65" s="1">
        <v>302228000</v>
      </c>
      <c r="D65" s="1">
        <v>417561000</v>
      </c>
      <c r="E65" s="1">
        <v>1464559000</v>
      </c>
      <c r="F65" s="1">
        <v>1600548000</v>
      </c>
    </row>
    <row r="66" spans="1:6" ht="19" x14ac:dyDescent="0.25">
      <c r="A66" s="5" t="s">
        <v>57</v>
      </c>
      <c r="B66" s="1" t="s">
        <v>92</v>
      </c>
      <c r="C66" s="1" t="s">
        <v>92</v>
      </c>
      <c r="D66" s="1" t="s">
        <v>92</v>
      </c>
      <c r="E66" s="1" t="s">
        <v>92</v>
      </c>
      <c r="F66" s="1" t="s">
        <v>92</v>
      </c>
    </row>
    <row r="67" spans="1:6" ht="19" x14ac:dyDescent="0.25">
      <c r="A67" s="6" t="s">
        <v>58</v>
      </c>
      <c r="B67" s="10" t="s">
        <v>92</v>
      </c>
      <c r="C67" s="10">
        <v>374765000</v>
      </c>
      <c r="D67" s="10">
        <v>502346000</v>
      </c>
      <c r="E67" s="10">
        <v>1522798000</v>
      </c>
      <c r="F67" s="10">
        <v>1764818000</v>
      </c>
    </row>
    <row r="68" spans="1:6" ht="19" x14ac:dyDescent="0.25">
      <c r="A68" s="5" t="s">
        <v>59</v>
      </c>
      <c r="B68" s="1" t="s">
        <v>92</v>
      </c>
      <c r="C68" s="1">
        <v>1000</v>
      </c>
      <c r="D68" s="1">
        <v>1000</v>
      </c>
      <c r="E68" s="1">
        <v>2000</v>
      </c>
      <c r="F68" s="1">
        <v>2000</v>
      </c>
    </row>
    <row r="69" spans="1:6" ht="19" x14ac:dyDescent="0.25">
      <c r="A69" s="5" t="s">
        <v>60</v>
      </c>
      <c r="B69" s="1" t="s">
        <v>92</v>
      </c>
      <c r="C69" s="1">
        <v>-123467000</v>
      </c>
      <c r="D69" s="1">
        <v>-167035000</v>
      </c>
      <c r="E69" s="1">
        <v>-186538000</v>
      </c>
      <c r="F69" s="1">
        <v>-210821000</v>
      </c>
    </row>
    <row r="70" spans="1:6" ht="19" x14ac:dyDescent="0.25">
      <c r="A70" s="5" t="s">
        <v>61</v>
      </c>
      <c r="B70" s="1" t="s">
        <v>92</v>
      </c>
      <c r="C70" s="1">
        <v>-112000</v>
      </c>
      <c r="D70" s="1">
        <v>-245000</v>
      </c>
      <c r="E70" s="1">
        <v>-374000</v>
      </c>
      <c r="F70" s="1">
        <v>-2048000</v>
      </c>
    </row>
    <row r="71" spans="1:6" ht="19" x14ac:dyDescent="0.25">
      <c r="A71" s="5" t="s">
        <v>62</v>
      </c>
      <c r="B71" s="1" t="s">
        <v>92</v>
      </c>
      <c r="C71" s="1">
        <v>51298000</v>
      </c>
      <c r="D71" s="1">
        <v>95185000</v>
      </c>
      <c r="E71" s="1">
        <v>765107000</v>
      </c>
      <c r="F71" s="1">
        <v>263957000</v>
      </c>
    </row>
    <row r="72" spans="1:6" ht="19" x14ac:dyDescent="0.25">
      <c r="A72" s="6" t="s">
        <v>63</v>
      </c>
      <c r="B72" s="10" t="s">
        <v>92</v>
      </c>
      <c r="C72" s="10">
        <v>-72280000</v>
      </c>
      <c r="D72" s="10">
        <v>-72094000</v>
      </c>
      <c r="E72" s="10">
        <v>578197000</v>
      </c>
      <c r="F72" s="10">
        <v>51090000</v>
      </c>
    </row>
    <row r="73" spans="1:6" ht="20" thickBot="1" x14ac:dyDescent="0.3">
      <c r="A73" s="7" t="s">
        <v>64</v>
      </c>
      <c r="B73" s="11" t="s">
        <v>92</v>
      </c>
      <c r="C73" s="11">
        <v>302485000</v>
      </c>
      <c r="D73" s="11">
        <v>430252000</v>
      </c>
      <c r="E73" s="11">
        <v>2100995000</v>
      </c>
      <c r="F73" s="11">
        <v>1815908000</v>
      </c>
    </row>
    <row r="74" spans="1:6" ht="20" thickTop="1" x14ac:dyDescent="0.25">
      <c r="A74" s="5" t="s">
        <v>28</v>
      </c>
      <c r="B74" s="13" t="s">
        <v>93</v>
      </c>
      <c r="C74" s="13" t="s">
        <v>93</v>
      </c>
      <c r="D74" s="13" t="s">
        <v>93</v>
      </c>
      <c r="E74" s="13" t="s">
        <v>93</v>
      </c>
      <c r="F74" s="13" t="s">
        <v>93</v>
      </c>
    </row>
    <row r="75" spans="1:6" ht="21" x14ac:dyDescent="0.25">
      <c r="A75" s="4" t="s">
        <v>65</v>
      </c>
      <c r="B75" s="9" t="s">
        <v>91</v>
      </c>
      <c r="C75" s="9" t="s">
        <v>91</v>
      </c>
      <c r="D75" s="9" t="s">
        <v>91</v>
      </c>
      <c r="E75" s="9" t="s">
        <v>91</v>
      </c>
      <c r="F75" s="9" t="s">
        <v>91</v>
      </c>
    </row>
    <row r="76" spans="1:6" ht="19" x14ac:dyDescent="0.25">
      <c r="A76" s="5" t="s">
        <v>66</v>
      </c>
      <c r="B76" s="1">
        <v>-35999000</v>
      </c>
      <c r="C76" s="1">
        <v>-40390000</v>
      </c>
      <c r="D76" s="1">
        <v>-43568000</v>
      </c>
      <c r="E76" s="1">
        <v>-19503000</v>
      </c>
      <c r="F76" s="1">
        <v>-24283000</v>
      </c>
    </row>
    <row r="77" spans="1:6" ht="19" x14ac:dyDescent="0.25">
      <c r="A77" s="5" t="s">
        <v>13</v>
      </c>
      <c r="B77" s="1">
        <v>52415000</v>
      </c>
      <c r="C77" s="1">
        <v>63081000</v>
      </c>
      <c r="D77" s="1">
        <v>75574000</v>
      </c>
      <c r="E77" s="1">
        <v>88372000</v>
      </c>
      <c r="F77" s="1">
        <v>102232000</v>
      </c>
    </row>
    <row r="78" spans="1:6" ht="19" x14ac:dyDescent="0.25">
      <c r="A78" s="5" t="s">
        <v>67</v>
      </c>
      <c r="B78" s="1">
        <v>-59000</v>
      </c>
      <c r="C78" s="1">
        <v>-8000</v>
      </c>
      <c r="D78" s="1">
        <v>71000</v>
      </c>
      <c r="E78" s="1" t="s">
        <v>92</v>
      </c>
      <c r="F78" s="1">
        <v>-4383000</v>
      </c>
    </row>
    <row r="79" spans="1:6" ht="19" x14ac:dyDescent="0.25">
      <c r="A79" s="5" t="s">
        <v>68</v>
      </c>
      <c r="B79" s="1">
        <v>12167000</v>
      </c>
      <c r="C79" s="1">
        <v>18646000</v>
      </c>
      <c r="D79" s="1">
        <v>29456000</v>
      </c>
      <c r="E79" s="1">
        <v>61577000</v>
      </c>
      <c r="F79" s="1">
        <v>105829000</v>
      </c>
    </row>
    <row r="80" spans="1:6" ht="19" x14ac:dyDescent="0.25">
      <c r="A80" s="14" t="s">
        <v>104</v>
      </c>
      <c r="B80" s="15">
        <f t="shared" ref="B80:F80" si="18">B79/B3</f>
        <v>5.9895833333333336E-2</v>
      </c>
      <c r="C80" s="15">
        <f t="shared" si="18"/>
        <v>7.3172358853007768E-2</v>
      </c>
      <c r="D80" s="15">
        <f t="shared" si="18"/>
        <v>9.2518374269740564E-2</v>
      </c>
      <c r="E80" s="15">
        <f t="shared" si="18"/>
        <v>0.14368316295696529</v>
      </c>
      <c r="F80" s="15">
        <f t="shared" si="18"/>
        <v>0.18362824948553066</v>
      </c>
    </row>
    <row r="81" spans="1:14" ht="19" x14ac:dyDescent="0.25">
      <c r="A81" s="5" t="s">
        <v>69</v>
      </c>
      <c r="B81" s="1">
        <v>-2700000</v>
      </c>
      <c r="C81" s="1">
        <v>-13311000</v>
      </c>
      <c r="D81" s="1">
        <v>-29604000</v>
      </c>
      <c r="E81" s="1">
        <v>-7993000</v>
      </c>
      <c r="F81" s="1">
        <v>-14190000</v>
      </c>
    </row>
    <row r="82" spans="1:14" ht="19" x14ac:dyDescent="0.25">
      <c r="A82" s="5" t="s">
        <v>70</v>
      </c>
      <c r="B82" s="1">
        <v>-10790000</v>
      </c>
      <c r="C82" s="1">
        <v>-14413000</v>
      </c>
      <c r="D82" s="1">
        <v>-17141000</v>
      </c>
      <c r="E82" s="1">
        <v>-20727000</v>
      </c>
      <c r="F82" s="1">
        <v>-26645000</v>
      </c>
    </row>
    <row r="83" spans="1:14" ht="21" x14ac:dyDescent="0.25">
      <c r="A83" s="5" t="s">
        <v>34</v>
      </c>
      <c r="B83" s="1" t="s">
        <v>92</v>
      </c>
      <c r="C83" s="1" t="s">
        <v>92</v>
      </c>
      <c r="D83" s="1" t="s">
        <v>92</v>
      </c>
      <c r="E83" s="1" t="s">
        <v>92</v>
      </c>
      <c r="F83" s="1" t="s">
        <v>92</v>
      </c>
      <c r="M83" s="68" t="s">
        <v>126</v>
      </c>
      <c r="N83" s="69"/>
    </row>
    <row r="84" spans="1:14" ht="19" x14ac:dyDescent="0.25">
      <c r="A84" s="5" t="s">
        <v>47</v>
      </c>
      <c r="B84" s="1" t="s">
        <v>92</v>
      </c>
      <c r="C84" s="1" t="s">
        <v>92</v>
      </c>
      <c r="D84" s="1" t="s">
        <v>92</v>
      </c>
      <c r="E84" s="1">
        <v>9325000</v>
      </c>
      <c r="F84" s="1">
        <v>5500000</v>
      </c>
      <c r="M84" s="70" t="s">
        <v>127</v>
      </c>
      <c r="N84" s="71"/>
    </row>
    <row r="85" spans="1:14" ht="20" x14ac:dyDescent="0.25">
      <c r="A85" s="5" t="s">
        <v>71</v>
      </c>
      <c r="B85" s="1">
        <v>-1389000</v>
      </c>
      <c r="C85" s="1">
        <v>-13000</v>
      </c>
      <c r="D85" s="1">
        <v>-1504000</v>
      </c>
      <c r="E85" s="1">
        <v>2279000</v>
      </c>
      <c r="F85" s="1">
        <v>7490000</v>
      </c>
      <c r="M85" s="24" t="s">
        <v>128</v>
      </c>
      <c r="N85" s="25">
        <f>F17</f>
        <v>8396000</v>
      </c>
    </row>
    <row r="86" spans="1:14" ht="20" x14ac:dyDescent="0.25">
      <c r="A86" s="5" t="s">
        <v>72</v>
      </c>
      <c r="B86" s="1">
        <v>12130000</v>
      </c>
      <c r="C86" s="1">
        <v>11884000</v>
      </c>
      <c r="D86" s="1">
        <v>26186000</v>
      </c>
      <c r="E86" s="1">
        <v>10661000</v>
      </c>
      <c r="F86" s="1">
        <v>29947000</v>
      </c>
      <c r="M86" s="24" t="s">
        <v>129</v>
      </c>
      <c r="N86" s="25">
        <f>F56</f>
        <v>57682000</v>
      </c>
    </row>
    <row r="87" spans="1:14" ht="20" x14ac:dyDescent="0.25">
      <c r="A87" s="6" t="s">
        <v>73</v>
      </c>
      <c r="B87" s="10">
        <v>37954000</v>
      </c>
      <c r="C87" s="10">
        <v>39902000</v>
      </c>
      <c r="D87" s="10">
        <v>58115000</v>
      </c>
      <c r="E87" s="10">
        <v>133114000</v>
      </c>
      <c r="F87" s="10">
        <v>195152000</v>
      </c>
      <c r="M87" s="24" t="s">
        <v>130</v>
      </c>
      <c r="N87" s="25">
        <f>F61</f>
        <v>1578513000</v>
      </c>
    </row>
    <row r="88" spans="1:14" ht="20" x14ac:dyDescent="0.25">
      <c r="A88" s="5" t="s">
        <v>74</v>
      </c>
      <c r="B88" s="1" t="s">
        <v>92</v>
      </c>
      <c r="C88" s="1" t="s">
        <v>92</v>
      </c>
      <c r="D88" s="1" t="s">
        <v>92</v>
      </c>
      <c r="E88" s="1">
        <v>-97072000</v>
      </c>
      <c r="F88" s="1">
        <v>0</v>
      </c>
      <c r="M88" s="32" t="s">
        <v>131</v>
      </c>
      <c r="N88" s="33">
        <f>N85/(N86+N87)</f>
        <v>5.1314177099917799E-3</v>
      </c>
    </row>
    <row r="89" spans="1:14" ht="20" customHeight="1" x14ac:dyDescent="0.25">
      <c r="A89" s="14" t="s">
        <v>105</v>
      </c>
      <c r="B89" s="15" t="e">
        <f t="shared" ref="B89:F89" si="19">(-1*B88)/B3</f>
        <v>#VALUE!</v>
      </c>
      <c r="C89" s="15" t="e">
        <f t="shared" si="19"/>
        <v>#VALUE!</v>
      </c>
      <c r="D89" s="15" t="e">
        <f t="shared" si="19"/>
        <v>#VALUE!</v>
      </c>
      <c r="E89" s="15">
        <f t="shared" si="19"/>
        <v>0.22650684499989499</v>
      </c>
      <c r="F89" s="15">
        <f t="shared" si="19"/>
        <v>0</v>
      </c>
      <c r="M89" s="24" t="s">
        <v>106</v>
      </c>
      <c r="N89" s="25">
        <f>F27</f>
        <v>-124000</v>
      </c>
    </row>
    <row r="90" spans="1:14" ht="20" x14ac:dyDescent="0.25">
      <c r="A90" s="5" t="s">
        <v>75</v>
      </c>
      <c r="B90" s="1" t="s">
        <v>92</v>
      </c>
      <c r="C90" s="1">
        <v>-2928000</v>
      </c>
      <c r="D90" s="1" t="s">
        <v>92</v>
      </c>
      <c r="E90" s="1">
        <v>-5000000</v>
      </c>
      <c r="F90" s="1">
        <v>-305170000</v>
      </c>
      <c r="M90" s="24" t="s">
        <v>19</v>
      </c>
      <c r="N90" s="25">
        <f>F25</f>
        <v>-24407000</v>
      </c>
    </row>
    <row r="91" spans="1:14" ht="20" x14ac:dyDescent="0.25">
      <c r="A91" s="5" t="s">
        <v>76</v>
      </c>
      <c r="B91" s="1" t="s">
        <v>92</v>
      </c>
      <c r="C91" s="1" t="s">
        <v>92</v>
      </c>
      <c r="D91" s="1" t="s">
        <v>92</v>
      </c>
      <c r="E91" s="1" t="s">
        <v>92</v>
      </c>
      <c r="F91" s="1">
        <v>-1696740000</v>
      </c>
      <c r="M91" s="32" t="s">
        <v>132</v>
      </c>
      <c r="N91" s="33">
        <f>N89/N90</f>
        <v>5.080509689843078E-3</v>
      </c>
    </row>
    <row r="92" spans="1:14" ht="20" x14ac:dyDescent="0.25">
      <c r="A92" s="5" t="s">
        <v>77</v>
      </c>
      <c r="B92" s="1" t="s">
        <v>92</v>
      </c>
      <c r="C92" s="1" t="s">
        <v>92</v>
      </c>
      <c r="D92" s="1" t="s">
        <v>92</v>
      </c>
      <c r="E92" s="1" t="s">
        <v>92</v>
      </c>
      <c r="F92" s="1">
        <v>978388000</v>
      </c>
      <c r="M92" s="34" t="s">
        <v>133</v>
      </c>
      <c r="N92" s="35">
        <f>N88*(1-N91)</f>
        <v>5.1053474925935342E-3</v>
      </c>
    </row>
    <row r="93" spans="1:14" ht="19" x14ac:dyDescent="0.25">
      <c r="A93" s="5" t="s">
        <v>78</v>
      </c>
      <c r="B93" s="1">
        <v>-61254000</v>
      </c>
      <c r="C93" s="1">
        <v>-84455000</v>
      </c>
      <c r="D93" s="1">
        <v>-115490000</v>
      </c>
      <c r="E93" s="1">
        <v>-11533000</v>
      </c>
      <c r="F93" s="1">
        <v>-124636000</v>
      </c>
      <c r="M93" s="70" t="s">
        <v>134</v>
      </c>
      <c r="N93" s="71"/>
    </row>
    <row r="94" spans="1:14" ht="20" x14ac:dyDescent="0.25">
      <c r="A94" s="6" t="s">
        <v>79</v>
      </c>
      <c r="B94" s="10">
        <v>-61254000</v>
      </c>
      <c r="C94" s="10">
        <v>-87383000</v>
      </c>
      <c r="D94" s="10">
        <v>-115490000</v>
      </c>
      <c r="E94" s="10">
        <v>-113605000</v>
      </c>
      <c r="F94" s="10">
        <v>-1148158000</v>
      </c>
      <c r="M94" s="24" t="s">
        <v>135</v>
      </c>
      <c r="N94" s="36">
        <v>4.095E-2</v>
      </c>
    </row>
    <row r="95" spans="1:14" ht="20" x14ac:dyDescent="0.25">
      <c r="A95" s="5" t="s">
        <v>80</v>
      </c>
      <c r="B95" s="1">
        <v>-143226000</v>
      </c>
      <c r="C95" s="1">
        <v>-27010000</v>
      </c>
      <c r="D95" s="1">
        <v>-176006000</v>
      </c>
      <c r="E95" s="1">
        <v>-263352000</v>
      </c>
      <c r="F95" s="1" t="s">
        <v>92</v>
      </c>
      <c r="M95" s="24" t="s">
        <v>136</v>
      </c>
      <c r="N95" s="37" cm="1">
        <f t="array" ref="N95">_FV(A1,"Beta")</f>
        <v>2.359</v>
      </c>
    </row>
    <row r="96" spans="1:14" ht="20" x14ac:dyDescent="0.25">
      <c r="A96" s="5" t="s">
        <v>81</v>
      </c>
      <c r="B96" s="1">
        <v>5201000</v>
      </c>
      <c r="C96" s="1">
        <v>5819000</v>
      </c>
      <c r="D96" s="1">
        <v>13905000</v>
      </c>
      <c r="E96" s="1">
        <v>724384000</v>
      </c>
      <c r="F96" s="1" t="s">
        <v>92</v>
      </c>
      <c r="M96" s="24" t="s">
        <v>137</v>
      </c>
      <c r="N96" s="36">
        <v>8.4000000000000005E-2</v>
      </c>
    </row>
    <row r="97" spans="1:14" ht="20" x14ac:dyDescent="0.25">
      <c r="A97" s="5" t="s">
        <v>82</v>
      </c>
      <c r="B97" s="1" t="s">
        <v>92</v>
      </c>
      <c r="C97" s="1" t="s">
        <v>92</v>
      </c>
      <c r="D97" s="1" t="s">
        <v>92</v>
      </c>
      <c r="E97" s="1">
        <v>-350000000</v>
      </c>
      <c r="F97" s="1">
        <v>-600000000</v>
      </c>
      <c r="M97" s="34" t="s">
        <v>138</v>
      </c>
      <c r="N97" s="35">
        <f>(N94)+((N95)*(N96-N94))</f>
        <v>0.14250495000000002</v>
      </c>
    </row>
    <row r="98" spans="1:14" ht="19" x14ac:dyDescent="0.25">
      <c r="A98" s="5" t="s">
        <v>83</v>
      </c>
      <c r="B98" s="1" t="s">
        <v>92</v>
      </c>
      <c r="C98" s="1" t="s">
        <v>92</v>
      </c>
      <c r="D98" s="1" t="s">
        <v>92</v>
      </c>
      <c r="E98" s="1" t="s">
        <v>92</v>
      </c>
      <c r="F98" s="1" t="s">
        <v>92</v>
      </c>
      <c r="M98" s="70" t="s">
        <v>139</v>
      </c>
      <c r="N98" s="71"/>
    </row>
    <row r="99" spans="1:14" ht="20" x14ac:dyDescent="0.25">
      <c r="A99" s="5" t="s">
        <v>84</v>
      </c>
      <c r="B99" s="1">
        <v>123777000</v>
      </c>
      <c r="C99" s="1">
        <v>70995000</v>
      </c>
      <c r="D99" s="1">
        <v>286127000</v>
      </c>
      <c r="E99" s="1">
        <v>1482347000</v>
      </c>
      <c r="F99" s="1">
        <v>-10363000</v>
      </c>
      <c r="M99" s="24" t="s">
        <v>140</v>
      </c>
      <c r="N99" s="25">
        <f>N86+N87</f>
        <v>1636195000</v>
      </c>
    </row>
    <row r="100" spans="1:14" ht="20" x14ac:dyDescent="0.25">
      <c r="A100" s="6" t="s">
        <v>85</v>
      </c>
      <c r="B100" s="10">
        <v>-14248000</v>
      </c>
      <c r="C100" s="10">
        <v>49804000</v>
      </c>
      <c r="D100" s="10">
        <v>124026000</v>
      </c>
      <c r="E100" s="10">
        <v>1593379000</v>
      </c>
      <c r="F100" s="10">
        <v>-610363000</v>
      </c>
      <c r="M100" s="32" t="s">
        <v>141</v>
      </c>
      <c r="N100" s="33">
        <f>N99/N103</f>
        <v>0.32060656203652671</v>
      </c>
    </row>
    <row r="101" spans="1:14" ht="20" x14ac:dyDescent="0.25">
      <c r="A101" s="5" t="s">
        <v>86</v>
      </c>
      <c r="B101" s="1" t="s">
        <v>92</v>
      </c>
      <c r="C101" s="1" t="s">
        <v>92</v>
      </c>
      <c r="D101" s="1" t="s">
        <v>92</v>
      </c>
      <c r="E101" s="1" t="s">
        <v>92</v>
      </c>
      <c r="F101" s="1">
        <v>-249000</v>
      </c>
      <c r="M101" s="24" t="s">
        <v>142</v>
      </c>
      <c r="N101" s="38" cm="1">
        <f t="array" ref="N101">_FV(A1,"Market cap",TRUE)</f>
        <v>3467240780</v>
      </c>
    </row>
    <row r="102" spans="1:14" ht="20" x14ac:dyDescent="0.25">
      <c r="A102" s="6" t="s">
        <v>87</v>
      </c>
      <c r="B102" s="10">
        <v>-37548000</v>
      </c>
      <c r="C102" s="10">
        <v>2323000</v>
      </c>
      <c r="D102" s="10">
        <v>66651000</v>
      </c>
      <c r="E102" s="10">
        <v>1612888000</v>
      </c>
      <c r="F102" s="10">
        <v>-1563618000</v>
      </c>
      <c r="M102" s="32" t="s">
        <v>143</v>
      </c>
      <c r="N102" s="33">
        <f>N101/N103</f>
        <v>0.67939343796347329</v>
      </c>
    </row>
    <row r="103" spans="1:14" ht="20" x14ac:dyDescent="0.25">
      <c r="A103" s="5" t="s">
        <v>88</v>
      </c>
      <c r="B103" s="1">
        <v>71111000</v>
      </c>
      <c r="C103" s="1">
        <v>33563000</v>
      </c>
      <c r="D103" s="1">
        <v>35886000</v>
      </c>
      <c r="E103" s="1">
        <v>102537000</v>
      </c>
      <c r="F103" s="1">
        <v>1715425000</v>
      </c>
      <c r="M103" s="34" t="s">
        <v>144</v>
      </c>
      <c r="N103" s="39">
        <f>N99+N101</f>
        <v>5103435780</v>
      </c>
    </row>
    <row r="104" spans="1:14" ht="20" thickBot="1" x14ac:dyDescent="0.3">
      <c r="A104" s="7" t="s">
        <v>89</v>
      </c>
      <c r="B104" s="11">
        <v>33563000</v>
      </c>
      <c r="C104" s="11">
        <v>35886000</v>
      </c>
      <c r="D104" s="11">
        <v>102537000</v>
      </c>
      <c r="E104" s="11">
        <v>1715425000</v>
      </c>
      <c r="F104" s="11">
        <v>151807000</v>
      </c>
      <c r="M104" s="70" t="s">
        <v>145</v>
      </c>
      <c r="N104" s="71"/>
    </row>
    <row r="105" spans="1:14" ht="21" thickTop="1" x14ac:dyDescent="0.25">
      <c r="A105" s="14" t="s">
        <v>107</v>
      </c>
      <c r="B105" s="1"/>
      <c r="C105" s="15">
        <f>(C106/B106)-1</f>
        <v>0.91403433476394857</v>
      </c>
      <c r="D105" s="15">
        <f>(D106/C106)-1</f>
        <v>0.29040069959862769</v>
      </c>
      <c r="E105" s="15">
        <f>(E106/D106)-1</f>
        <v>-1.4173038159449503</v>
      </c>
      <c r="F105" s="15">
        <f>(F106/E106)-1</f>
        <v>2.12034145325838</v>
      </c>
      <c r="G105" s="63">
        <v>146300000</v>
      </c>
      <c r="H105" s="63">
        <v>187100000</v>
      </c>
      <c r="I105" s="63">
        <v>218800000</v>
      </c>
      <c r="J105" s="63">
        <v>258600000</v>
      </c>
      <c r="K105" s="63">
        <v>302300000</v>
      </c>
      <c r="L105" s="15"/>
      <c r="M105" s="26" t="s">
        <v>108</v>
      </c>
      <c r="N105" s="27">
        <f>(N100*N92)+(N102*N97)</f>
        <v>9.8453735814915094E-2</v>
      </c>
    </row>
    <row r="106" spans="1:14" ht="19" x14ac:dyDescent="0.25">
      <c r="A106" s="5" t="s">
        <v>90</v>
      </c>
      <c r="B106" s="1">
        <v>-23300000</v>
      </c>
      <c r="C106" s="1">
        <v>-44597000</v>
      </c>
      <c r="D106" s="1">
        <v>-57548000</v>
      </c>
      <c r="E106" s="1">
        <v>24015000</v>
      </c>
      <c r="F106" s="1">
        <v>74935000</v>
      </c>
      <c r="G106" s="40">
        <f>F106*(1+$N$106)</f>
        <v>88584259.409381598</v>
      </c>
      <c r="H106" s="40">
        <f t="shared" ref="H106:K106" si="20">G106*(1+$N$106)</f>
        <v>104719703.94486704</v>
      </c>
      <c r="I106" s="40">
        <f t="shared" si="20"/>
        <v>123794187.22260284</v>
      </c>
      <c r="J106" s="40">
        <f t="shared" si="20"/>
        <v>146343049.2333436</v>
      </c>
      <c r="K106" s="40">
        <f t="shared" si="20"/>
        <v>172999141.06954578</v>
      </c>
      <c r="L106" s="41" t="s">
        <v>146</v>
      </c>
      <c r="M106" s="42" t="s">
        <v>147</v>
      </c>
      <c r="N106" s="43">
        <f>(SUM(G4:K4)/5)</f>
        <v>0.18214798704719554</v>
      </c>
    </row>
    <row r="107" spans="1:14" ht="19" x14ac:dyDescent="0.25">
      <c r="A107" s="5"/>
      <c r="B107" s="13"/>
      <c r="C107" s="13"/>
      <c r="D107" s="13"/>
      <c r="E107" s="13"/>
      <c r="F107" s="13"/>
      <c r="G107" s="41"/>
      <c r="H107" s="41"/>
      <c r="I107" s="41"/>
      <c r="J107" s="41"/>
      <c r="K107" s="44">
        <f>K105*(1+N107)/(N108-N107)</f>
        <v>4218403551.0564475</v>
      </c>
      <c r="L107" s="45" t="s">
        <v>148</v>
      </c>
      <c r="M107" s="46" t="s">
        <v>149</v>
      </c>
      <c r="N107" s="47">
        <v>2.5000000000000001E-2</v>
      </c>
    </row>
    <row r="108" spans="1:14" ht="19" x14ac:dyDescent="0.25">
      <c r="G108" s="44">
        <f t="shared" ref="G108:I108" si="21">G107+G106</f>
        <v>88584259.409381598</v>
      </c>
      <c r="H108" s="44">
        <f t="shared" si="21"/>
        <v>104719703.94486704</v>
      </c>
      <c r="I108" s="44">
        <f t="shared" si="21"/>
        <v>123794187.22260284</v>
      </c>
      <c r="J108" s="44">
        <f>J107+J106</f>
        <v>146343049.2333436</v>
      </c>
      <c r="K108" s="44">
        <f>K107+K105</f>
        <v>4520703551.056448</v>
      </c>
      <c r="L108" s="45" t="s">
        <v>144</v>
      </c>
      <c r="M108" s="48" t="s">
        <v>150</v>
      </c>
      <c r="N108" s="49">
        <f>N105</f>
        <v>9.8453735814915094E-2</v>
      </c>
    </row>
    <row r="109" spans="1:14" ht="19" x14ac:dyDescent="0.25">
      <c r="G109" s="66" t="s">
        <v>151</v>
      </c>
      <c r="H109" s="67"/>
    </row>
    <row r="110" spans="1:14" ht="20" x14ac:dyDescent="0.25">
      <c r="G110" s="50" t="s">
        <v>152</v>
      </c>
      <c r="H110" s="38">
        <f>NPV(N108,G108,H108,I108,J108,K108)</f>
        <v>3188167186.7069249</v>
      </c>
    </row>
    <row r="111" spans="1:14" ht="20" x14ac:dyDescent="0.25">
      <c r="G111" s="50" t="s">
        <v>153</v>
      </c>
      <c r="H111" s="38">
        <f>F40</f>
        <v>864234000</v>
      </c>
    </row>
    <row r="112" spans="1:14" ht="20" x14ac:dyDescent="0.25">
      <c r="G112" s="50" t="s">
        <v>140</v>
      </c>
      <c r="H112" s="38">
        <f>N99</f>
        <v>1636195000</v>
      </c>
    </row>
    <row r="113" spans="7:8" ht="20" x14ac:dyDescent="0.25">
      <c r="G113" s="50" t="s">
        <v>154</v>
      </c>
      <c r="H113" s="38">
        <f>H110+H111-H112</f>
        <v>2416206186.7069249</v>
      </c>
    </row>
    <row r="114" spans="7:8" ht="20" x14ac:dyDescent="0.25">
      <c r="G114" s="50" t="s">
        <v>159</v>
      </c>
      <c r="H114" s="51" cm="1">
        <f t="array" ref="H114">_FV(A1,"Shares outstanding",TRUE)</f>
        <v>88812520</v>
      </c>
    </row>
    <row r="115" spans="7:8" ht="20" x14ac:dyDescent="0.25">
      <c r="G115" s="52" t="s">
        <v>155</v>
      </c>
      <c r="H115" s="53">
        <f>H113/H114</f>
        <v>27.205693371913384</v>
      </c>
    </row>
    <row r="116" spans="7:8" ht="20" x14ac:dyDescent="0.25">
      <c r="G116" s="50" t="s">
        <v>156</v>
      </c>
      <c r="H116" s="54" cm="1">
        <f t="array" ref="H116">_FV(A1,"Price")</f>
        <v>39.04</v>
      </c>
    </row>
    <row r="117" spans="7:8" ht="20" x14ac:dyDescent="0.25">
      <c r="G117" s="55" t="s">
        <v>157</v>
      </c>
      <c r="H117" s="56">
        <f>H115/H116-1</f>
        <v>-0.30313285420303826</v>
      </c>
    </row>
    <row r="118" spans="7:8" ht="20" x14ac:dyDescent="0.25">
      <c r="G118" s="55" t="s">
        <v>158</v>
      </c>
      <c r="H118" s="57" t="str">
        <f>IF(H115&gt;H116,"BUY","SELL")</f>
        <v>SELL</v>
      </c>
    </row>
  </sheetData>
  <mergeCells count="6">
    <mergeCell ref="G109:H109"/>
    <mergeCell ref="M83:N83"/>
    <mergeCell ref="M84:N84"/>
    <mergeCell ref="M93:N93"/>
    <mergeCell ref="M98:N98"/>
    <mergeCell ref="M104:N104"/>
  </mergeCells>
  <hyperlinks>
    <hyperlink ref="A1" r:id="rId1" tooltip="https://roic.ai/company/DOCN" display="ROIC.AI | DO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82961/000158296122000010/0001582961-22-000010-index.htm" xr:uid="{00000000-0004-0000-0000-00000A000000}"/>
    <hyperlink ref="E74" r:id="rId9" tooltip="https://www.sec.gov/Archives/edgar/data/1582961/000158296122000010/0001582961-22-000010-index.htm" xr:uid="{00000000-0004-0000-0000-00000B000000}"/>
    <hyperlink ref="F36" r:id="rId10" tooltip="https://www.sec.gov/Archives/edgar/data/1582961/000158296123000009/0001582961-23-000009-index.htm" xr:uid="{00000000-0004-0000-0000-00000D000000}"/>
    <hyperlink ref="F74" r:id="rId11" tooltip="https://www.sec.gov/Archives/edgar/data/1582961/000158296123000009/0001582961-23-000009-index.htm" xr:uid="{00000000-0004-0000-0000-00000E000000}"/>
    <hyperlink ref="G1" r:id="rId12" display="https://finbox.com/NYSE:DOCN/explorer/revenue_proj" xr:uid="{420E23AD-CCD6-3E42-8058-B00129E17D0C}"/>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2023-03-14T06:23:29Z</dcterms:created>
  <dcterms:modified xsi:type="dcterms:W3CDTF">2023-06-23T11:47:30Z</dcterms:modified>
</cp:coreProperties>
</file>