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838E761-A140-3440-BED7-A5264B6EC37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5" i="1" l="1"/>
  <c r="N97" i="1" s="1"/>
  <c r="H116" i="1" a="1"/>
  <c r="H116" i="1" s="1"/>
  <c r="H106" i="1"/>
  <c r="I106" i="1"/>
  <c r="J106" i="1"/>
  <c r="K106" i="1"/>
  <c r="G106" i="1"/>
  <c r="H114" i="1"/>
  <c r="N101" i="1" a="1"/>
  <c r="N101" i="1" s="1"/>
  <c r="F89" i="1"/>
  <c r="F105" i="1"/>
  <c r="F80" i="1"/>
  <c r="F35" i="1"/>
  <c r="F29" i="1"/>
  <c r="F20" i="1"/>
  <c r="F13" i="1"/>
  <c r="F9" i="1"/>
  <c r="L21" i="1" a="1"/>
  <c r="L21" i="1" s="1"/>
  <c r="N86" i="1"/>
  <c r="N87" i="1"/>
  <c r="N99" i="1"/>
  <c r="N85" i="1"/>
  <c r="N88" i="1"/>
  <c r="N89" i="1"/>
  <c r="N90" i="1"/>
  <c r="N91" i="1"/>
  <c r="N92" i="1"/>
  <c r="H111" i="1"/>
  <c r="H112" i="1"/>
  <c r="J108" i="1"/>
  <c r="I108" i="1"/>
  <c r="H108" i="1"/>
  <c r="G108" i="1"/>
  <c r="G4" i="1"/>
  <c r="H4" i="1"/>
  <c r="I4" i="1"/>
  <c r="J4" i="1"/>
  <c r="K4" i="1"/>
  <c r="N106" i="1"/>
  <c r="L19" i="1"/>
  <c r="L16" i="1"/>
  <c r="O13" i="1"/>
  <c r="N13" i="1"/>
  <c r="M13" i="1"/>
  <c r="L13" i="1"/>
  <c r="O10" i="1"/>
  <c r="N10" i="1"/>
  <c r="M10" i="1"/>
  <c r="L10" i="1"/>
  <c r="O7" i="1"/>
  <c r="N7" i="1"/>
  <c r="M7" i="1"/>
  <c r="L7" i="1"/>
  <c r="O4" i="1"/>
  <c r="N4" i="1"/>
  <c r="M4" i="1"/>
  <c r="L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F4" i="1"/>
  <c r="M16" i="1" l="1"/>
  <c r="N16" i="1"/>
  <c r="N103" i="1"/>
  <c r="N100" i="1" s="1"/>
  <c r="O16" i="1"/>
  <c r="N102" i="1" l="1"/>
  <c r="N105" i="1" s="1"/>
  <c r="N108" i="1" s="1"/>
  <c r="K107" i="1" s="1"/>
  <c r="K108" i="1" s="1"/>
  <c r="H110" i="1" l="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<sst xmlns="http://schemas.openxmlformats.org/spreadsheetml/2006/main" count="335" uniqueCount="160">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</sst>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7" borderId="9" xfId="0" applyFont="1" applyFill="1" applyBorder="1" applyAlignment="1">
      <alignment horizontal="left" vertical="center" wrapText="1"/>
    </xf>
    <xf numFmtId="39" fontId="11" fillId="7" borderId="10" xfId="0" applyNumberFormat="1" applyFont="1" applyFill="1" applyBorder="1"/>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GLBE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867934824978557E-2"/>
          <c:y val="0.12483708587508614"/>
          <c:w val="0.86404625659416323"/>
          <c:h val="0.764063855955996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38640000</c:v>
                </c:pt>
                <c:pt idx="1">
                  <c:v>65852000</c:v>
                </c:pt>
                <c:pt idx="2">
                  <c:v>136375000</c:v>
                </c:pt>
                <c:pt idx="3">
                  <c:v>245274000</c:v>
                </c:pt>
                <c:pt idx="4">
                  <c:v>409049000</c:v>
                </c:pt>
              </c:numCache>
            </c:numRef>
          </c:val>
          <c:extLst>
            <c:ext xmlns:c16="http://schemas.microsoft.com/office/drawing/2014/chart" uri="{C3380CC4-5D6E-409C-BE32-E72D297353CC}">
              <c16:uniqueId val="{00000000-4738-6347-AE18-23BF72A2459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-11381000</c:v>
                </c:pt>
                <c:pt idx="1">
                  <c:v>-7339000</c:v>
                </c:pt>
                <c:pt idx="2">
                  <c:v>4309000</c:v>
                </c:pt>
                <c:pt idx="3">
                  <c:v>-65327000</c:v>
                </c:pt>
                <c:pt idx="4">
                  <c:v>-184092000</c:v>
                </c:pt>
              </c:numCache>
            </c:numRef>
          </c:val>
          <c:extLst>
            <c:ext xmlns:c16="http://schemas.microsoft.com/office/drawing/2014/chart" uri="{C3380CC4-5D6E-409C-BE32-E72D297353CC}">
              <c16:uniqueId val="{00000001-4738-6347-AE18-23BF72A2459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-8095000</c:v>
                </c:pt>
                <c:pt idx="1">
                  <c:v>6764000</c:v>
                </c:pt>
                <c:pt idx="2">
                  <c:v>28894000</c:v>
                </c:pt>
                <c:pt idx="3">
                  <c:v>12865000</c:v>
                </c:pt>
                <c:pt idx="4">
                  <c:v>73133000</c:v>
                </c:pt>
              </c:numCache>
            </c:numRef>
          </c:val>
          <c:extLst>
            <c:ext xmlns:c16="http://schemas.microsoft.com/office/drawing/2014/chart" uri="{C3380CC4-5D6E-409C-BE32-E72D297353CC}">
              <c16:uniqueId val="{00000002-4738-6347-AE18-23BF72A2459B}"/>
            </c:ext>
          </c:extLst>
        </c:ser>
        <c:dLbls>
          <c:showLegendKey val="0"/>
          <c:showVal val="0"/>
          <c:showCatName val="0"/>
          <c:showSerName val="0"/>
          <c:showPercent val="0"/>
          <c:showBubbleSize val="0"/>
        </c:dLbls>
        <c:gapWidth val="100"/>
        <c:overlap val="-24"/>
        <c:axId val="1372330656"/>
        <c:axId val="1372332384"/>
      </c:barChart>
      <c:catAx>
        <c:axId val="1372330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72332384"/>
        <c:crosses val="autoZero"/>
        <c:auto val="1"/>
        <c:lblAlgn val="ctr"/>
        <c:lblOffset val="100"/>
        <c:noMultiLvlLbl val="0"/>
      </c:catAx>
      <c:valAx>
        <c:axId val="1372332384"/>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72330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15875</xdr:colOff>
      <xdr:row>108</xdr:row>
      <xdr:rowOff>17463</xdr:rowOff>
    </xdr:from>
    <xdr:to>
      <xdr:col>14</xdr:col>
      <xdr:colOff>15875</xdr:colOff>
      <xdr:row>130</xdr:row>
      <xdr:rowOff>31750</xdr:rowOff>
    </xdr:to>
    <xdr:graphicFrame macro="">
      <xdr:nvGraphicFramePr>
        <xdr:cNvPr id="2" name="Chart 1">
          <a:extLst>
            <a:ext uri="{FF2B5EF4-FFF2-40B4-BE49-F238E27FC236}">
              <a16:creationId xmlns:a16="http://schemas.microsoft.com/office/drawing/2014/main" id="{A376ACDF-7C2E-6A39-E029-226BD55F0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39</v>
    <v>18.14</v>
    <v>-0.31</v>
    <v>-8.2360000000000003E-3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37.770000000000003</v>
    <v>Software &amp; IT Services</v>
    <v>Stock</v>
    <v>45099.981825902345</v>
    <v>0</v>
    <v>36.6</v>
    <v>6182503000</v>
    <v>GLOBAL-E ONLINE LTD</v>
    <v>GLOBAL-E ONLINE LTD</v>
    <v>37.28</v>
    <v>8554.902</v>
    <v>37.64</v>
    <v>37.33</v>
    <v>164253600</v>
    <v>GLBE</v>
    <v>GLOBAL-E ONLINE LTD (XNAS:GLBE)</v>
    <v>122</v>
    <v>1862803</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GLBE/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GLBE"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91" activePane="bottomRight" state="frozen"/>
      <selection pane="topRight"/>
      <selection pane="bottomLeft"/>
      <selection pane="bottomRight" activeCell="G123" sqref="G123"/>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38640000</v>
      </c>
      <c r="C3" s="1">
        <v>65852000</v>
      </c>
      <c r="D3" s="1">
        <v>136375000</v>
      </c>
      <c r="E3" s="1">
        <v>245274000</v>
      </c>
      <c r="F3" s="1">
        <v>409049000</v>
      </c>
      <c r="G3" s="29">
        <v>574200000</v>
      </c>
      <c r="H3" s="29">
        <v>770600000</v>
      </c>
      <c r="I3" s="29">
        <v>1130000000</v>
      </c>
      <c r="J3" s="29">
        <v>1187000000</v>
      </c>
      <c r="K3" s="29">
        <v>1448000000</v>
      </c>
      <c r="L3" s="19" t="s">
        <v>109</v>
      </c>
      <c r="M3" s="20" t="s">
        <v>110</v>
      </c>
      <c r="N3" s="20" t="s">
        <v>111</v>
      </c>
      <c r="O3" s="20" t="s">
        <v>112</v>
      </c>
    </row>
    <row r="4" spans="1:38" ht="19" x14ac:dyDescent="0.25">
      <c r="A4" s="14" t="s">
        <v>94</v>
      </c>
      <c r="B4" s="1"/>
      <c r="C4" s="15">
        <f>(C3/B3)-1</f>
        <v>0.70424430641821956</v>
      </c>
      <c r="D4" s="15">
        <f>(D3/C3)-1</f>
        <v>1.0709317864301768</v>
      </c>
      <c r="E4" s="15">
        <f>(E3/D3)-1</f>
        <v>0.79852612282309798</v>
      </c>
      <c r="F4" s="16">
        <f t="shared" ref="F4:K4" si="0">(F3/E3)-1</f>
        <v>0.66772262857049669</v>
      </c>
      <c r="G4" s="16">
        <f t="shared" si="0"/>
        <v>0.40374380575432278</v>
      </c>
      <c r="H4" s="16">
        <f t="shared" si="0"/>
        <v>0.34204110066179028</v>
      </c>
      <c r="I4" s="16">
        <f t="shared" si="0"/>
        <v>0.46638982610952495</v>
      </c>
      <c r="J4" s="16">
        <f t="shared" si="0"/>
        <v>5.0442477876106118E-2</v>
      </c>
      <c r="K4" s="16">
        <f t="shared" si="0"/>
        <v>0.21988205560235885</v>
      </c>
      <c r="L4" s="17">
        <f>(F4+E4+D4)/3</f>
        <v>0.84572684594125713</v>
      </c>
      <c r="M4" s="17">
        <f>(F20+E20+D20)/3</f>
        <v>-5.3099078164684839</v>
      </c>
      <c r="N4" s="17">
        <f>(F29+E29+D29)/3</f>
        <v>-6.6853193075085677</v>
      </c>
      <c r="O4" s="17">
        <f>(F105+E105+D105)/3</f>
        <v>2.4672097071495824</v>
      </c>
      <c r="T4" s="16"/>
      <c r="U4" s="16"/>
      <c r="V4" s="16"/>
      <c r="W4" s="16"/>
      <c r="X4" s="16"/>
      <c r="Y4" s="16"/>
      <c r="Z4" s="16"/>
      <c r="AA4" s="16"/>
      <c r="AB4" s="16"/>
      <c r="AC4" s="16"/>
      <c r="AD4" s="16"/>
      <c r="AE4" s="16"/>
      <c r="AF4" s="16"/>
      <c r="AI4" s="18"/>
      <c r="AJ4" s="18"/>
      <c r="AK4" s="18"/>
      <c r="AL4" s="18"/>
    </row>
    <row r="5" spans="1:38" ht="19" x14ac:dyDescent="0.25">
      <c r="A5" s="5" t="s">
        <v>2</v>
      </c>
      <c r="B5" s="1">
        <v>30050000</v>
      </c>
      <c r="C5" s="1">
        <v>47188000</v>
      </c>
      <c r="D5" s="1">
        <v>92902000</v>
      </c>
      <c r="E5" s="1">
        <v>153841000</v>
      </c>
      <c r="F5" s="1">
        <v>250871000</v>
      </c>
    </row>
    <row r="6" spans="1:38" ht="20" x14ac:dyDescent="0.25">
      <c r="A6" s="6" t="s">
        <v>3</v>
      </c>
      <c r="B6" s="10">
        <v>8590000</v>
      </c>
      <c r="C6" s="10">
        <v>18664000</v>
      </c>
      <c r="D6" s="10">
        <v>43473000</v>
      </c>
      <c r="E6" s="10">
        <v>91433000</v>
      </c>
      <c r="F6" s="10">
        <v>158178000</v>
      </c>
      <c r="L6" s="19" t="s">
        <v>113</v>
      </c>
      <c r="M6" s="20" t="s">
        <v>114</v>
      </c>
      <c r="N6" s="20" t="s">
        <v>115</v>
      </c>
      <c r="O6" s="20" t="s">
        <v>116</v>
      </c>
    </row>
    <row r="7" spans="1:38" ht="19" x14ac:dyDescent="0.25">
      <c r="A7" s="5" t="s">
        <v>4</v>
      </c>
      <c r="B7" s="2">
        <v>0.2223</v>
      </c>
      <c r="C7" s="2">
        <v>0.28339999999999999</v>
      </c>
      <c r="D7" s="2">
        <v>0.31879999999999997</v>
      </c>
      <c r="E7" s="2">
        <v>0.37280000000000002</v>
      </c>
      <c r="F7" s="2">
        <v>0.38669999999999999</v>
      </c>
      <c r="L7" s="17">
        <f>F7</f>
        <v>0.38669999999999999</v>
      </c>
      <c r="M7" s="21">
        <f>F21</f>
        <v>-0.45</v>
      </c>
      <c r="N7" s="21">
        <f>F30</f>
        <v>-0.47770000000000001</v>
      </c>
      <c r="O7" s="21">
        <f>F106/F3</f>
        <v>0.17878787137971244</v>
      </c>
    </row>
    <row r="8" spans="1:38" ht="19" x14ac:dyDescent="0.25">
      <c r="A8" s="5" t="s">
        <v>5</v>
      </c>
      <c r="B8" s="1">
        <v>9541000</v>
      </c>
      <c r="C8" s="1">
        <v>12034000</v>
      </c>
      <c r="D8" s="1">
        <v>15400000</v>
      </c>
      <c r="E8" s="1">
        <v>29761000</v>
      </c>
      <c r="F8" s="1">
        <v>81206000</v>
      </c>
    </row>
    <row r="9" spans="1:38" ht="19" customHeight="1" x14ac:dyDescent="0.25">
      <c r="A9" s="14" t="s">
        <v>95</v>
      </c>
      <c r="B9" s="15">
        <f>B8/B3</f>
        <v>0.24692028985507247</v>
      </c>
      <c r="C9" s="15">
        <f t="shared" ref="C9:F9" si="1">C8/C3</f>
        <v>0.18274312093786066</v>
      </c>
      <c r="D9" s="15">
        <f t="shared" si="1"/>
        <v>0.11292392300641613</v>
      </c>
      <c r="E9" s="15">
        <f t="shared" si="1"/>
        <v>0.12133776918874402</v>
      </c>
      <c r="F9" s="15">
        <f t="shared" si="1"/>
        <v>0.19852389322550598</v>
      </c>
      <c r="G9" s="15"/>
      <c r="H9" s="15"/>
      <c r="L9" s="19" t="s">
        <v>96</v>
      </c>
      <c r="M9" s="20" t="s">
        <v>97</v>
      </c>
      <c r="N9" s="20" t="s">
        <v>98</v>
      </c>
      <c r="O9" s="20" t="s">
        <v>99</v>
      </c>
    </row>
    <row r="10" spans="1:38" ht="19" x14ac:dyDescent="0.25">
      <c r="A10" s="5" t="s">
        <v>6</v>
      </c>
      <c r="B10" s="1">
        <v>5760000</v>
      </c>
      <c r="C10" s="1">
        <v>6988000</v>
      </c>
      <c r="D10" s="1">
        <v>9822000</v>
      </c>
      <c r="E10" s="1">
        <v>22643000</v>
      </c>
      <c r="F10" s="1">
        <v>60196000</v>
      </c>
      <c r="L10" s="17">
        <f>F9</f>
        <v>0.19852389322550598</v>
      </c>
      <c r="M10" s="21">
        <f>F13</f>
        <v>0.65101247038863319</v>
      </c>
      <c r="N10" s="21">
        <f>F80</f>
        <v>9.5120633469339855E-2</v>
      </c>
      <c r="O10" s="21">
        <f>F89</f>
        <v>2.0418091720062877E-2</v>
      </c>
    </row>
    <row r="11" spans="1:38" ht="19" x14ac:dyDescent="0.25">
      <c r="A11" s="5" t="s">
        <v>7</v>
      </c>
      <c r="B11" s="1">
        <v>3667000</v>
      </c>
      <c r="C11" s="1">
        <v>4593000</v>
      </c>
      <c r="D11" s="1">
        <v>9838000</v>
      </c>
      <c r="E11" s="1">
        <v>104687000</v>
      </c>
      <c r="F11" s="1">
        <v>206100000</v>
      </c>
    </row>
    <row r="12" spans="1:38" ht="20" x14ac:dyDescent="0.25">
      <c r="A12" s="5" t="s">
        <v>8</v>
      </c>
      <c r="B12" s="1">
        <v>9427000</v>
      </c>
      <c r="C12" s="1">
        <v>11581000</v>
      </c>
      <c r="D12" s="1">
        <v>19660000</v>
      </c>
      <c r="E12" s="1">
        <v>127330000</v>
      </c>
      <c r="F12" s="1">
        <v>266296000</v>
      </c>
      <c r="L12" s="19" t="s">
        <v>117</v>
      </c>
      <c r="M12" s="20" t="s">
        <v>118</v>
      </c>
      <c r="N12" s="20" t="s">
        <v>119</v>
      </c>
      <c r="O12" s="20" t="s">
        <v>120</v>
      </c>
    </row>
    <row r="13" spans="1:38" ht="19" x14ac:dyDescent="0.25">
      <c r="A13" s="14" t="s">
        <v>100</v>
      </c>
      <c r="B13" s="15">
        <f>B12/B3</f>
        <v>0.24396997929606626</v>
      </c>
      <c r="C13" s="15">
        <f t="shared" ref="C13:F13" si="2">C12/C3</f>
        <v>0.17586405879851788</v>
      </c>
      <c r="D13" s="15">
        <f t="shared" si="2"/>
        <v>0.14416131989000916</v>
      </c>
      <c r="E13" s="15">
        <f t="shared" si="2"/>
        <v>0.51913370353156063</v>
      </c>
      <c r="F13" s="15">
        <f t="shared" si="2"/>
        <v>0.65101247038863319</v>
      </c>
      <c r="G13" s="15"/>
      <c r="H13" s="15"/>
      <c r="L13" s="17">
        <f>F28/F72</f>
        <v>-0.2105382811077435</v>
      </c>
      <c r="M13" s="21">
        <f>F28/F54</f>
        <v>-0.16807586444176845</v>
      </c>
      <c r="N13" s="21">
        <f>F22/(F72+F56+F61)</f>
        <v>-0.19972044791628207</v>
      </c>
      <c r="O13" s="22">
        <f>F67/F72</f>
        <v>0.25263839520924536</v>
      </c>
    </row>
    <row r="14" spans="1:38" ht="19" x14ac:dyDescent="0.25">
      <c r="A14" s="5" t="s">
        <v>9</v>
      </c>
      <c r="B14" s="1" t="s">
        <v>92</v>
      </c>
      <c r="C14" s="1" t="s">
        <v>92</v>
      </c>
      <c r="D14" s="1" t="s">
        <v>92</v>
      </c>
      <c r="E14" s="1" t="s">
        <v>92</v>
      </c>
      <c r="F14" s="1" t="s">
        <v>92</v>
      </c>
    </row>
    <row r="15" spans="1:38" ht="20" x14ac:dyDescent="0.25">
      <c r="A15" s="5" t="s">
        <v>10</v>
      </c>
      <c r="B15" s="1">
        <v>18968000</v>
      </c>
      <c r="C15" s="1">
        <v>23615000</v>
      </c>
      <c r="D15" s="1">
        <v>35060000</v>
      </c>
      <c r="E15" s="1">
        <v>157091000</v>
      </c>
      <c r="F15" s="1">
        <v>347502000</v>
      </c>
      <c r="L15" s="19" t="s">
        <v>121</v>
      </c>
      <c r="M15" s="20" t="s">
        <v>122</v>
      </c>
      <c r="N15" s="20" t="s">
        <v>123</v>
      </c>
      <c r="O15" s="20" t="s">
        <v>124</v>
      </c>
    </row>
    <row r="16" spans="1:38" ht="19" x14ac:dyDescent="0.25">
      <c r="A16" s="5" t="s">
        <v>11</v>
      </c>
      <c r="B16" s="1">
        <v>49018000</v>
      </c>
      <c r="C16" s="1">
        <v>70803000</v>
      </c>
      <c r="D16" s="1">
        <v>127962000</v>
      </c>
      <c r="E16" s="1">
        <v>310932000</v>
      </c>
      <c r="F16" s="1">
        <v>598373000</v>
      </c>
      <c r="L16" s="30">
        <f>(F35+E35+D35+C35)/4</f>
        <v>-1.5396029518067946E-2</v>
      </c>
      <c r="M16" s="31">
        <f>N101/F3</f>
        <v>15.114333490608704</v>
      </c>
      <c r="N16" s="31">
        <f>N101/F28</f>
        <v>-31.639430925513675</v>
      </c>
      <c r="O16" s="32">
        <f>N101/F106</f>
        <v>84.537800992711908</v>
      </c>
    </row>
    <row r="17" spans="1:15" ht="19" x14ac:dyDescent="0.25">
      <c r="A17" s="5" t="s">
        <v>12</v>
      </c>
      <c r="B17" s="1" t="s">
        <v>92</v>
      </c>
      <c r="C17" s="1" t="s">
        <v>92</v>
      </c>
      <c r="D17" s="1" t="s">
        <v>92</v>
      </c>
      <c r="E17" s="1">
        <v>8570000</v>
      </c>
      <c r="F17" s="1">
        <v>-12093000</v>
      </c>
    </row>
    <row r="18" spans="1:15" ht="20" x14ac:dyDescent="0.25">
      <c r="A18" s="5" t="s">
        <v>13</v>
      </c>
      <c r="B18" s="1">
        <v>162000</v>
      </c>
      <c r="C18" s="1">
        <v>171000</v>
      </c>
      <c r="D18" s="1">
        <v>235000</v>
      </c>
      <c r="E18" s="1">
        <v>331000</v>
      </c>
      <c r="F18" s="1">
        <v>29418000</v>
      </c>
      <c r="L18" s="19" t="s">
        <v>125</v>
      </c>
    </row>
    <row r="19" spans="1:15" ht="19" x14ac:dyDescent="0.25">
      <c r="A19" s="6" t="s">
        <v>14</v>
      </c>
      <c r="B19" s="10">
        <v>-11381000</v>
      </c>
      <c r="C19" s="10">
        <v>-7339000</v>
      </c>
      <c r="D19" s="10">
        <v>4309000</v>
      </c>
      <c r="E19" s="10">
        <v>-65327000</v>
      </c>
      <c r="F19" s="10">
        <v>-184092000</v>
      </c>
      <c r="L19" s="33">
        <f>F40-F56-F61</f>
        <v>208375000</v>
      </c>
    </row>
    <row r="20" spans="1:15" ht="19" customHeight="1" x14ac:dyDescent="0.25">
      <c r="A20" s="14" t="s">
        <v>101</v>
      </c>
      <c r="B20" s="1"/>
      <c r="C20" s="15">
        <f>(C19/B19)-1</f>
        <v>-0.35515332571830238</v>
      </c>
      <c r="D20" s="15">
        <f>(D19/C19)-1</f>
        <v>-1.5871372121542444</v>
      </c>
      <c r="E20" s="15">
        <f>(E19/D19)-1</f>
        <v>-16.160594105360872</v>
      </c>
      <c r="F20" s="15">
        <f>(F19/E19)-1</f>
        <v>1.8180078681096639</v>
      </c>
    </row>
    <row r="21" spans="1:15" ht="19" x14ac:dyDescent="0.25">
      <c r="A21" s="5" t="s">
        <v>15</v>
      </c>
      <c r="B21" s="2">
        <v>-0.29449999999999998</v>
      </c>
      <c r="C21" s="2">
        <v>-0.1114</v>
      </c>
      <c r="D21" s="2">
        <v>3.1600000000000003E-2</v>
      </c>
      <c r="E21" s="2">
        <v>-0.26629999999999998</v>
      </c>
      <c r="F21" s="2">
        <v>-0.45</v>
      </c>
      <c r="L21" s="65" t="str" cm="1">
        <f t="array" ref="L21">_FV(A1,"Description")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M21" s="65"/>
      <c r="N21" s="65"/>
      <c r="O21" s="65"/>
    </row>
    <row r="22" spans="1:15" ht="19" x14ac:dyDescent="0.25">
      <c r="A22" s="6" t="s">
        <v>16</v>
      </c>
      <c r="B22" s="10">
        <v>-10378000</v>
      </c>
      <c r="C22" s="10">
        <v>-4951000</v>
      </c>
      <c r="D22" s="10">
        <v>8413000</v>
      </c>
      <c r="E22" s="10">
        <v>-65658000</v>
      </c>
      <c r="F22" s="10">
        <v>-189324000</v>
      </c>
      <c r="L22" s="65"/>
      <c r="M22" s="65"/>
      <c r="N22" s="65"/>
      <c r="O22" s="65"/>
    </row>
    <row r="23" spans="1:15" ht="19" x14ac:dyDescent="0.25">
      <c r="A23" s="5" t="s">
        <v>17</v>
      </c>
      <c r="B23" s="2">
        <v>-0.26860000000000001</v>
      </c>
      <c r="C23" s="2">
        <v>-7.5200000000000003E-2</v>
      </c>
      <c r="D23" s="2">
        <v>6.1699999999999998E-2</v>
      </c>
      <c r="E23" s="2">
        <v>-0.26769999999999999</v>
      </c>
      <c r="F23" s="2">
        <v>-0.46279999999999999</v>
      </c>
      <c r="L23" s="65"/>
      <c r="M23" s="65"/>
      <c r="N23" s="65"/>
      <c r="O23" s="65"/>
    </row>
    <row r="24" spans="1:15" ht="19" x14ac:dyDescent="0.25">
      <c r="A24" s="5" t="s">
        <v>18</v>
      </c>
      <c r="B24" s="1">
        <v>-1165000</v>
      </c>
      <c r="C24" s="1">
        <v>-2559000</v>
      </c>
      <c r="D24" s="1">
        <v>-4339000</v>
      </c>
      <c r="E24" s="1">
        <v>-8570000</v>
      </c>
      <c r="F24" s="1">
        <v>-12093000</v>
      </c>
      <c r="L24" s="65"/>
      <c r="M24" s="65"/>
      <c r="N24" s="65"/>
      <c r="O24" s="65"/>
    </row>
    <row r="25" spans="1:15" ht="19" x14ac:dyDescent="0.25">
      <c r="A25" s="6" t="s">
        <v>19</v>
      </c>
      <c r="B25" s="10">
        <v>-11543000</v>
      </c>
      <c r="C25" s="10">
        <v>-7510000</v>
      </c>
      <c r="D25" s="10">
        <v>4074000</v>
      </c>
      <c r="E25" s="10">
        <v>-74228000</v>
      </c>
      <c r="F25" s="10">
        <v>-201417000</v>
      </c>
      <c r="L25" s="65"/>
      <c r="M25" s="65"/>
      <c r="N25" s="65"/>
      <c r="O25" s="65"/>
    </row>
    <row r="26" spans="1:15" ht="19" x14ac:dyDescent="0.25">
      <c r="A26" s="5" t="s">
        <v>20</v>
      </c>
      <c r="B26" s="2">
        <v>-0.29870000000000002</v>
      </c>
      <c r="C26" s="2">
        <v>-0.114</v>
      </c>
      <c r="D26" s="2">
        <v>2.9899999999999999E-2</v>
      </c>
      <c r="E26" s="2">
        <v>-0.30259999999999998</v>
      </c>
      <c r="F26" s="2">
        <v>-0.4924</v>
      </c>
      <c r="L26" s="65"/>
      <c r="M26" s="65"/>
      <c r="N26" s="65"/>
      <c r="O26" s="65"/>
    </row>
    <row r="27" spans="1:15" ht="19" x14ac:dyDescent="0.25">
      <c r="A27" s="5" t="s">
        <v>21</v>
      </c>
      <c r="B27" s="1">
        <v>50000</v>
      </c>
      <c r="C27" s="1">
        <v>34000</v>
      </c>
      <c r="D27" s="1">
        <v>160000</v>
      </c>
      <c r="E27" s="1">
        <v>705000</v>
      </c>
      <c r="F27" s="1">
        <v>-6012000</v>
      </c>
      <c r="L27" s="65"/>
      <c r="M27" s="65"/>
      <c r="N27" s="65"/>
      <c r="O27" s="65"/>
    </row>
    <row r="28" spans="1:15" ht="20" thickBot="1" x14ac:dyDescent="0.3">
      <c r="A28" s="7" t="s">
        <v>22</v>
      </c>
      <c r="B28" s="11">
        <v>-11593000</v>
      </c>
      <c r="C28" s="11">
        <v>-7544000</v>
      </c>
      <c r="D28" s="11">
        <v>3914000</v>
      </c>
      <c r="E28" s="11">
        <v>-74933000</v>
      </c>
      <c r="F28" s="11">
        <v>-195405000</v>
      </c>
      <c r="L28" s="65"/>
      <c r="M28" s="65"/>
      <c r="N28" s="65"/>
      <c r="O28" s="65"/>
    </row>
    <row r="29" spans="1:15" ht="20" customHeight="1" thickTop="1" x14ac:dyDescent="0.25">
      <c r="A29" s="14" t="s">
        <v>102</v>
      </c>
      <c r="B29" s="1"/>
      <c r="C29" s="15">
        <f>(C28/B28)-1</f>
        <v>-0.34926248598292076</v>
      </c>
      <c r="D29" s="15">
        <f>(D28/C28)-1</f>
        <v>-1.5188229056203606</v>
      </c>
      <c r="E29" s="15">
        <f>(E28/D28)-1</f>
        <v>-20.144864588656105</v>
      </c>
      <c r="F29" s="15">
        <f>(F28/E28)-1</f>
        <v>1.607729571750764</v>
      </c>
      <c r="L29" s="65"/>
      <c r="M29" s="65"/>
      <c r="N29" s="65"/>
      <c r="O29" s="65"/>
    </row>
    <row r="30" spans="1:15" ht="19" x14ac:dyDescent="0.25">
      <c r="A30" s="5" t="s">
        <v>23</v>
      </c>
      <c r="B30" s="2">
        <v>-0.3</v>
      </c>
      <c r="C30" s="2">
        <v>-0.11459999999999999</v>
      </c>
      <c r="D30" s="2">
        <v>2.87E-2</v>
      </c>
      <c r="E30" s="2">
        <v>-0.30549999999999999</v>
      </c>
      <c r="F30" s="2">
        <v>-0.47770000000000001</v>
      </c>
      <c r="L30" s="65"/>
      <c r="M30" s="65"/>
      <c r="N30" s="65"/>
      <c r="O30" s="65"/>
    </row>
    <row r="31" spans="1:15" ht="19" x14ac:dyDescent="0.25">
      <c r="A31" s="5" t="s">
        <v>24</v>
      </c>
      <c r="B31" s="12">
        <v>-0.1</v>
      </c>
      <c r="C31" s="12">
        <v>-7.0000000000000007E-2</v>
      </c>
      <c r="D31" s="12">
        <v>0.03</v>
      </c>
      <c r="E31" s="12">
        <v>-0.65</v>
      </c>
      <c r="F31" s="12">
        <v>-1.71</v>
      </c>
      <c r="L31" s="65"/>
      <c r="M31" s="65"/>
      <c r="N31" s="65"/>
      <c r="O31" s="65"/>
    </row>
    <row r="32" spans="1:15" ht="19" x14ac:dyDescent="0.25">
      <c r="A32" s="5" t="s">
        <v>25</v>
      </c>
      <c r="B32" s="12">
        <v>-0.1</v>
      </c>
      <c r="C32" s="12">
        <v>-7.0000000000000007E-2</v>
      </c>
      <c r="D32" s="12">
        <v>0.03</v>
      </c>
      <c r="E32" s="12">
        <v>-0.65</v>
      </c>
      <c r="F32" s="12">
        <v>-1.71</v>
      </c>
      <c r="L32" s="65"/>
      <c r="M32" s="65"/>
      <c r="N32" s="65"/>
      <c r="O32" s="65"/>
    </row>
    <row r="33" spans="1:15" ht="19" x14ac:dyDescent="0.25">
      <c r="A33" s="5" t="s">
        <v>26</v>
      </c>
      <c r="B33" s="1">
        <v>114552727</v>
      </c>
      <c r="C33" s="1">
        <v>114552727</v>
      </c>
      <c r="D33" s="1">
        <v>114552727</v>
      </c>
      <c r="E33" s="1">
        <v>114552727</v>
      </c>
      <c r="F33" s="1">
        <v>114552727</v>
      </c>
      <c r="L33" s="65"/>
      <c r="M33" s="65"/>
      <c r="N33" s="65"/>
      <c r="O33" s="65"/>
    </row>
    <row r="34" spans="1:15" ht="19" x14ac:dyDescent="0.25">
      <c r="A34" s="5" t="s">
        <v>27</v>
      </c>
      <c r="B34" s="1">
        <v>122070320</v>
      </c>
      <c r="C34" s="1">
        <v>122070320</v>
      </c>
      <c r="D34" s="1">
        <v>122070320</v>
      </c>
      <c r="E34" s="1">
        <v>114552727</v>
      </c>
      <c r="F34" s="1">
        <v>114552727</v>
      </c>
      <c r="L34" s="65"/>
      <c r="M34" s="65"/>
      <c r="N34" s="65"/>
      <c r="O34" s="65"/>
    </row>
    <row r="35" spans="1:15" ht="20" customHeight="1" x14ac:dyDescent="0.25">
      <c r="A35" s="14" t="s">
        <v>103</v>
      </c>
      <c r="B35" s="1"/>
      <c r="C35" s="23">
        <f>(C34-B34)/B34</f>
        <v>0</v>
      </c>
      <c r="D35" s="23">
        <f t="shared" ref="D35:F35" si="3">(D34-C34)/C34</f>
        <v>0</v>
      </c>
      <c r="E35" s="23">
        <f t="shared" si="3"/>
        <v>-6.1584118072271786E-2</v>
      </c>
      <c r="F35" s="23">
        <f t="shared" si="3"/>
        <v>0</v>
      </c>
    </row>
    <row r="36" spans="1:15" ht="19" x14ac:dyDescent="0.25">
      <c r="A36" s="5" t="s">
        <v>28</v>
      </c>
      <c r="B36" s="13" t="s">
        <v>93</v>
      </c>
      <c r="C36" s="13" t="s">
        <v>93</v>
      </c>
      <c r="D36" s="13" t="s">
        <v>93</v>
      </c>
      <c r="E36" s="13" t="s">
        <v>93</v>
      </c>
      <c r="F36" s="13" t="s">
        <v>93</v>
      </c>
    </row>
    <row r="37" spans="1:15" ht="21" x14ac:dyDescent="0.25">
      <c r="A37" s="4" t="s">
        <v>29</v>
      </c>
      <c r="B37" s="9" t="s">
        <v>91</v>
      </c>
      <c r="C37" s="9" t="s">
        <v>91</v>
      </c>
      <c r="D37" s="9" t="s">
        <v>91</v>
      </c>
      <c r="E37" s="9" t="s">
        <v>91</v>
      </c>
      <c r="F37" s="9" t="s">
        <v>91</v>
      </c>
    </row>
    <row r="38" spans="1:15" ht="19" x14ac:dyDescent="0.25">
      <c r="A38" s="5" t="s">
        <v>30</v>
      </c>
      <c r="B38" s="1" t="s">
        <v>92</v>
      </c>
      <c r="C38" s="1">
        <v>5034000</v>
      </c>
      <c r="D38" s="1">
        <v>68637000</v>
      </c>
      <c r="E38" s="1">
        <v>448623000</v>
      </c>
      <c r="F38" s="1">
        <v>165033000</v>
      </c>
    </row>
    <row r="39" spans="1:15" ht="19" x14ac:dyDescent="0.25">
      <c r="A39" s="5" t="s">
        <v>31</v>
      </c>
      <c r="B39" s="1" t="s">
        <v>92</v>
      </c>
      <c r="C39" s="1">
        <v>82000</v>
      </c>
      <c r="D39" s="1">
        <v>23328000</v>
      </c>
      <c r="E39" s="1">
        <v>60449000</v>
      </c>
      <c r="F39" s="1">
        <v>63166000</v>
      </c>
    </row>
    <row r="40" spans="1:15" ht="19" x14ac:dyDescent="0.25">
      <c r="A40" s="5" t="s">
        <v>32</v>
      </c>
      <c r="B40" s="1" t="s">
        <v>92</v>
      </c>
      <c r="C40" s="1">
        <v>5116000</v>
      </c>
      <c r="D40" s="1">
        <v>91965000</v>
      </c>
      <c r="E40" s="1">
        <v>509072000</v>
      </c>
      <c r="F40" s="1">
        <v>228199000</v>
      </c>
    </row>
    <row r="41" spans="1:15" ht="19" x14ac:dyDescent="0.25">
      <c r="A41" s="5" t="s">
        <v>33</v>
      </c>
      <c r="B41" s="1" t="s">
        <v>92</v>
      </c>
      <c r="C41" s="1">
        <v>23550000</v>
      </c>
      <c r="D41" s="1">
        <v>38086000</v>
      </c>
      <c r="E41" s="1">
        <v>66820000</v>
      </c>
      <c r="F41" s="1">
        <v>94549000</v>
      </c>
    </row>
    <row r="42" spans="1:15" ht="19" x14ac:dyDescent="0.25">
      <c r="A42" s="5" t="s">
        <v>34</v>
      </c>
      <c r="B42" s="1" t="s">
        <v>92</v>
      </c>
      <c r="C42" s="1" t="s">
        <v>92</v>
      </c>
      <c r="D42" s="1" t="s">
        <v>92</v>
      </c>
      <c r="E42" s="1" t="s">
        <v>92</v>
      </c>
      <c r="F42" s="1" t="s">
        <v>92</v>
      </c>
    </row>
    <row r="43" spans="1:15" ht="19" x14ac:dyDescent="0.25">
      <c r="A43" s="5" t="s">
        <v>35</v>
      </c>
      <c r="B43" s="1" t="s">
        <v>92</v>
      </c>
      <c r="C43" s="1">
        <v>10653000</v>
      </c>
      <c r="D43" s="1">
        <v>23047000</v>
      </c>
      <c r="E43" s="1">
        <v>46568000</v>
      </c>
      <c r="F43" s="1">
        <v>51904000</v>
      </c>
    </row>
    <row r="44" spans="1:15" ht="19" x14ac:dyDescent="0.25">
      <c r="A44" s="6" t="s">
        <v>36</v>
      </c>
      <c r="B44" s="10" t="s">
        <v>92</v>
      </c>
      <c r="C44" s="10">
        <v>39319000</v>
      </c>
      <c r="D44" s="10">
        <v>153098000</v>
      </c>
      <c r="E44" s="10">
        <v>622460000</v>
      </c>
      <c r="F44" s="10">
        <v>374652000</v>
      </c>
    </row>
    <row r="45" spans="1:15" ht="19" x14ac:dyDescent="0.25">
      <c r="A45" s="5" t="s">
        <v>37</v>
      </c>
      <c r="B45" s="1" t="s">
        <v>92</v>
      </c>
      <c r="C45" s="1">
        <v>1895000</v>
      </c>
      <c r="D45" s="1">
        <v>4877000</v>
      </c>
      <c r="E45" s="1">
        <v>23377000</v>
      </c>
      <c r="F45" s="1">
        <v>30001000</v>
      </c>
    </row>
    <row r="46" spans="1:15" ht="19" x14ac:dyDescent="0.25">
      <c r="A46" s="5" t="s">
        <v>38</v>
      </c>
      <c r="B46" s="1" t="s">
        <v>92</v>
      </c>
      <c r="C46" s="1" t="s">
        <v>92</v>
      </c>
      <c r="D46" s="1" t="s">
        <v>92</v>
      </c>
      <c r="E46" s="1" t="s">
        <v>92</v>
      </c>
      <c r="F46" s="1" t="s">
        <v>92</v>
      </c>
    </row>
    <row r="47" spans="1:15" ht="19" x14ac:dyDescent="0.25">
      <c r="A47" s="5" t="s">
        <v>39</v>
      </c>
      <c r="B47" s="1" t="s">
        <v>92</v>
      </c>
      <c r="C47" s="1" t="s">
        <v>92</v>
      </c>
      <c r="D47" s="1" t="s">
        <v>92</v>
      </c>
      <c r="E47" s="1" t="s">
        <v>92</v>
      </c>
      <c r="F47" s="1" t="s">
        <v>92</v>
      </c>
    </row>
    <row r="48" spans="1:15" ht="19" x14ac:dyDescent="0.25">
      <c r="A48" s="5" t="s">
        <v>40</v>
      </c>
      <c r="B48" s="1" t="s">
        <v>92</v>
      </c>
      <c r="C48" s="1" t="s">
        <v>92</v>
      </c>
      <c r="D48" s="1" t="s">
        <v>92</v>
      </c>
      <c r="E48" s="1" t="s">
        <v>92</v>
      </c>
      <c r="F48" s="1">
        <v>466024000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v>171000</v>
      </c>
    </row>
    <row r="51" spans="1:6" ht="19" x14ac:dyDescent="0.25">
      <c r="A51" s="5" t="s">
        <v>43</v>
      </c>
      <c r="B51" s="1" t="s">
        <v>92</v>
      </c>
      <c r="C51" s="1">
        <v>2385000</v>
      </c>
      <c r="D51" s="1">
        <v>3320000</v>
      </c>
      <c r="E51" s="1">
        <v>200290000</v>
      </c>
      <c r="F51" s="1">
        <v>291752000</v>
      </c>
    </row>
    <row r="52" spans="1:6" ht="19" x14ac:dyDescent="0.25">
      <c r="A52" s="5" t="s">
        <v>44</v>
      </c>
      <c r="B52" s="1" t="s">
        <v>92</v>
      </c>
      <c r="C52" s="1">
        <v>4280000</v>
      </c>
      <c r="D52" s="1">
        <v>8197000</v>
      </c>
      <c r="E52" s="1">
        <v>223667000</v>
      </c>
      <c r="F52" s="1">
        <v>787948000</v>
      </c>
    </row>
    <row r="53" spans="1:6" ht="19" x14ac:dyDescent="0.25">
      <c r="A53" s="5" t="s">
        <v>45</v>
      </c>
      <c r="B53" s="1" t="s">
        <v>92</v>
      </c>
      <c r="C53" s="1" t="s">
        <v>92</v>
      </c>
      <c r="D53" s="1" t="s">
        <v>92</v>
      </c>
      <c r="E53" s="1" t="s">
        <v>92</v>
      </c>
      <c r="F53" s="1" t="s">
        <v>92</v>
      </c>
    </row>
    <row r="54" spans="1:6" ht="20" thickBot="1" x14ac:dyDescent="0.3">
      <c r="A54" s="7" t="s">
        <v>46</v>
      </c>
      <c r="B54" s="11" t="s">
        <v>92</v>
      </c>
      <c r="C54" s="11">
        <v>43599000</v>
      </c>
      <c r="D54" s="11">
        <v>161295000</v>
      </c>
      <c r="E54" s="11">
        <v>846127000</v>
      </c>
      <c r="F54" s="11">
        <v>1162600000</v>
      </c>
    </row>
    <row r="55" spans="1:6" ht="20" thickTop="1" x14ac:dyDescent="0.25">
      <c r="A55" s="5" t="s">
        <v>47</v>
      </c>
      <c r="B55" s="1" t="s">
        <v>92</v>
      </c>
      <c r="C55" s="1">
        <v>9039000</v>
      </c>
      <c r="D55" s="1">
        <v>19057000</v>
      </c>
      <c r="E55" s="1">
        <v>24064000</v>
      </c>
      <c r="F55" s="1">
        <v>52220000</v>
      </c>
    </row>
    <row r="56" spans="1:6" ht="19" x14ac:dyDescent="0.25">
      <c r="A56" s="5" t="s">
        <v>48</v>
      </c>
      <c r="B56" s="1" t="s">
        <v>92</v>
      </c>
      <c r="C56" s="1" t="s">
        <v>92</v>
      </c>
      <c r="D56" s="1" t="s">
        <v>92</v>
      </c>
      <c r="E56" s="1">
        <v>2517000</v>
      </c>
      <c r="F56" s="1">
        <v>3245000</v>
      </c>
    </row>
    <row r="57" spans="1:6" ht="19" x14ac:dyDescent="0.25">
      <c r="A57" s="5" t="s">
        <v>49</v>
      </c>
      <c r="B57" s="1" t="s">
        <v>92</v>
      </c>
      <c r="C57" s="1" t="s">
        <v>92</v>
      </c>
      <c r="D57" s="1" t="s">
        <v>92</v>
      </c>
      <c r="E57" s="1" t="s">
        <v>92</v>
      </c>
      <c r="F57" s="1" t="s">
        <v>92</v>
      </c>
    </row>
    <row r="58" spans="1:6" ht="19" x14ac:dyDescent="0.25">
      <c r="A58" s="5" t="s">
        <v>50</v>
      </c>
      <c r="B58" s="1" t="s">
        <v>92</v>
      </c>
      <c r="C58" s="1" t="s">
        <v>92</v>
      </c>
      <c r="D58" s="1">
        <v>4417000</v>
      </c>
      <c r="E58" s="1" t="s">
        <v>92</v>
      </c>
      <c r="F58" s="1" t="s">
        <v>92</v>
      </c>
    </row>
    <row r="59" spans="1:6" ht="19" x14ac:dyDescent="0.25">
      <c r="A59" s="5" t="s">
        <v>51</v>
      </c>
      <c r="B59" s="1" t="s">
        <v>92</v>
      </c>
      <c r="C59" s="1">
        <v>32756000</v>
      </c>
      <c r="D59" s="1">
        <v>60422000</v>
      </c>
      <c r="E59" s="1">
        <v>104993000</v>
      </c>
      <c r="F59" s="1">
        <v>154115000</v>
      </c>
    </row>
    <row r="60" spans="1:6" ht="19" x14ac:dyDescent="0.25">
      <c r="A60" s="6" t="s">
        <v>52</v>
      </c>
      <c r="B60" s="10" t="s">
        <v>92</v>
      </c>
      <c r="C60" s="10">
        <v>41795000</v>
      </c>
      <c r="D60" s="10">
        <v>83896000</v>
      </c>
      <c r="E60" s="10">
        <v>131574000</v>
      </c>
      <c r="F60" s="10">
        <v>209580000</v>
      </c>
    </row>
    <row r="61" spans="1:6" ht="19" x14ac:dyDescent="0.25">
      <c r="A61" s="5" t="s">
        <v>53</v>
      </c>
      <c r="B61" s="1" t="s">
        <v>92</v>
      </c>
      <c r="C61" s="1" t="s">
        <v>92</v>
      </c>
      <c r="D61" s="1" t="s">
        <v>92</v>
      </c>
      <c r="E61" s="1">
        <v>18803000</v>
      </c>
      <c r="F61" s="1">
        <v>16579000</v>
      </c>
    </row>
    <row r="62" spans="1:6" ht="19" x14ac:dyDescent="0.25">
      <c r="A62" s="5" t="s">
        <v>50</v>
      </c>
      <c r="B62" s="1" t="s">
        <v>92</v>
      </c>
      <c r="C62" s="1" t="s">
        <v>92</v>
      </c>
      <c r="D62" s="1" t="s">
        <v>92</v>
      </c>
      <c r="E62" s="1" t="s">
        <v>92</v>
      </c>
      <c r="F62" s="1" t="s">
        <v>92</v>
      </c>
    </row>
    <row r="63" spans="1:6" ht="19" x14ac:dyDescent="0.25">
      <c r="A63" s="5" t="s">
        <v>54</v>
      </c>
      <c r="B63" s="1" t="s">
        <v>92</v>
      </c>
      <c r="C63" s="1">
        <v>38000</v>
      </c>
      <c r="D63" s="1">
        <v>105000</v>
      </c>
      <c r="E63" s="1" t="s">
        <v>92</v>
      </c>
      <c r="F63" s="1">
        <v>6558000</v>
      </c>
    </row>
    <row r="64" spans="1:6" ht="19" x14ac:dyDescent="0.25">
      <c r="A64" s="5" t="s">
        <v>55</v>
      </c>
      <c r="B64" s="1" t="s">
        <v>92</v>
      </c>
      <c r="C64" s="1">
        <v>54796000</v>
      </c>
      <c r="D64" s="1">
        <v>121804000</v>
      </c>
      <c r="E64" s="1" t="s">
        <v>92</v>
      </c>
      <c r="F64" s="1">
        <v>1762000</v>
      </c>
    </row>
    <row r="65" spans="1:6" ht="19" x14ac:dyDescent="0.25">
      <c r="A65" s="5" t="s">
        <v>56</v>
      </c>
      <c r="B65" s="1" t="s">
        <v>92</v>
      </c>
      <c r="C65" s="1">
        <v>54834000</v>
      </c>
      <c r="D65" s="1">
        <v>121909000</v>
      </c>
      <c r="E65" s="1">
        <v>18803000</v>
      </c>
      <c r="F65" s="1">
        <v>24899000</v>
      </c>
    </row>
    <row r="66" spans="1:6" ht="19" x14ac:dyDescent="0.25">
      <c r="A66" s="5" t="s">
        <v>57</v>
      </c>
      <c r="B66" s="1" t="s">
        <v>92</v>
      </c>
      <c r="C66" s="1" t="s">
        <v>92</v>
      </c>
      <c r="D66" s="1" t="s">
        <v>92</v>
      </c>
      <c r="E66" s="1" t="s">
        <v>92</v>
      </c>
      <c r="F66" s="1" t="s">
        <v>92</v>
      </c>
    </row>
    <row r="67" spans="1:6" ht="19" x14ac:dyDescent="0.25">
      <c r="A67" s="6" t="s">
        <v>58</v>
      </c>
      <c r="B67" s="10" t="s">
        <v>92</v>
      </c>
      <c r="C67" s="10">
        <v>96629000</v>
      </c>
      <c r="D67" s="10">
        <v>205805000</v>
      </c>
      <c r="E67" s="10">
        <v>150377000</v>
      </c>
      <c r="F67" s="10">
        <v>234479000</v>
      </c>
    </row>
    <row r="68" spans="1:6" ht="19" x14ac:dyDescent="0.25">
      <c r="A68" s="5" t="s">
        <v>59</v>
      </c>
      <c r="B68" s="1" t="s">
        <v>92</v>
      </c>
      <c r="C68" s="1" t="s">
        <v>92</v>
      </c>
      <c r="D68" s="1" t="s">
        <v>92</v>
      </c>
      <c r="E68" s="1">
        <v>823550000</v>
      </c>
      <c r="F68" s="1">
        <v>1253093000</v>
      </c>
    </row>
    <row r="69" spans="1:6" ht="19" x14ac:dyDescent="0.25">
      <c r="A69" s="5" t="s">
        <v>60</v>
      </c>
      <c r="B69" s="1" t="s">
        <v>92</v>
      </c>
      <c r="C69" s="1">
        <v>-56622000</v>
      </c>
      <c r="D69" s="1">
        <v>-52708000</v>
      </c>
      <c r="E69" s="1">
        <v>-127641000</v>
      </c>
      <c r="F69" s="1">
        <v>-323046000</v>
      </c>
    </row>
    <row r="70" spans="1:6" ht="19" x14ac:dyDescent="0.25">
      <c r="A70" s="5" t="s">
        <v>61</v>
      </c>
      <c r="B70" s="1" t="s">
        <v>92</v>
      </c>
      <c r="C70" s="1">
        <v>-545000</v>
      </c>
      <c r="D70" s="1">
        <v>-706000</v>
      </c>
      <c r="E70" s="1">
        <v>-159000</v>
      </c>
      <c r="F70" s="1">
        <v>-1926000</v>
      </c>
    </row>
    <row r="71" spans="1:6" ht="19" x14ac:dyDescent="0.25">
      <c r="A71" s="5" t="s">
        <v>62</v>
      </c>
      <c r="B71" s="1" t="s">
        <v>92</v>
      </c>
      <c r="C71" s="1">
        <v>4137000</v>
      </c>
      <c r="D71" s="1">
        <v>194916000</v>
      </c>
      <c r="E71" s="1" t="s">
        <v>92</v>
      </c>
      <c r="F71" s="1" t="s">
        <v>92</v>
      </c>
    </row>
    <row r="72" spans="1:6" ht="19" x14ac:dyDescent="0.25">
      <c r="A72" s="6" t="s">
        <v>63</v>
      </c>
      <c r="B72" s="10" t="s">
        <v>92</v>
      </c>
      <c r="C72" s="10">
        <v>-53030000</v>
      </c>
      <c r="D72" s="10">
        <v>141502000</v>
      </c>
      <c r="E72" s="10">
        <v>695750000</v>
      </c>
      <c r="F72" s="10">
        <v>928121000</v>
      </c>
    </row>
    <row r="73" spans="1:6" ht="20" thickBot="1" x14ac:dyDescent="0.3">
      <c r="A73" s="7" t="s">
        <v>64</v>
      </c>
      <c r="B73" s="11" t="s">
        <v>92</v>
      </c>
      <c r="C73" s="11">
        <v>43599000</v>
      </c>
      <c r="D73" s="11">
        <v>347307000</v>
      </c>
      <c r="E73" s="11">
        <v>846127000</v>
      </c>
      <c r="F73" s="11">
        <v>1162600000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-11593000</v>
      </c>
      <c r="C76" s="1">
        <v>-7544000</v>
      </c>
      <c r="D76" s="1">
        <v>3914000</v>
      </c>
      <c r="E76" s="1">
        <v>-74933000</v>
      </c>
      <c r="F76" s="1">
        <v>-195405000</v>
      </c>
    </row>
    <row r="77" spans="1:6" ht="19" x14ac:dyDescent="0.25">
      <c r="A77" s="5" t="s">
        <v>13</v>
      </c>
      <c r="B77" s="1">
        <v>162000</v>
      </c>
      <c r="C77" s="1">
        <v>171000</v>
      </c>
      <c r="D77" s="1">
        <v>235000</v>
      </c>
      <c r="E77" s="1">
        <v>331000</v>
      </c>
      <c r="F77" s="1">
        <v>29418000</v>
      </c>
    </row>
    <row r="78" spans="1:6" ht="19" x14ac:dyDescent="0.25">
      <c r="A78" s="5" t="s">
        <v>67</v>
      </c>
      <c r="B78" s="1" t="s">
        <v>92</v>
      </c>
      <c r="C78" s="1" t="s">
        <v>92</v>
      </c>
      <c r="D78" s="1" t="s">
        <v>92</v>
      </c>
      <c r="E78" s="1" t="s">
        <v>92</v>
      </c>
      <c r="F78" s="1" t="s">
        <v>92</v>
      </c>
    </row>
    <row r="79" spans="1:6" ht="19" x14ac:dyDescent="0.25">
      <c r="A79" s="5" t="s">
        <v>68</v>
      </c>
      <c r="B79" s="1">
        <v>219000</v>
      </c>
      <c r="C79" s="1">
        <v>221000</v>
      </c>
      <c r="D79" s="1">
        <v>3956000</v>
      </c>
      <c r="E79" s="1">
        <v>12001000</v>
      </c>
      <c r="F79" s="1">
        <v>38909000</v>
      </c>
    </row>
    <row r="80" spans="1:6" ht="19" x14ac:dyDescent="0.25">
      <c r="A80" s="14" t="s">
        <v>104</v>
      </c>
      <c r="B80" s="15">
        <f t="shared" ref="B80:F80" si="4">B79/B3</f>
        <v>5.6677018633540374E-3</v>
      </c>
      <c r="C80" s="15">
        <f t="shared" si="4"/>
        <v>3.3560104476705339E-3</v>
      </c>
      <c r="D80" s="15">
        <f t="shared" si="4"/>
        <v>2.9008249312557285E-2</v>
      </c>
      <c r="E80" s="15">
        <f t="shared" si="4"/>
        <v>4.8928952926115286E-2</v>
      </c>
      <c r="F80" s="15">
        <f t="shared" si="4"/>
        <v>9.5120633469339855E-2</v>
      </c>
    </row>
    <row r="81" spans="1:14" ht="19" x14ac:dyDescent="0.25">
      <c r="A81" s="5" t="s">
        <v>69</v>
      </c>
      <c r="B81" s="1">
        <v>3225000</v>
      </c>
      <c r="C81" s="1">
        <v>14175000</v>
      </c>
      <c r="D81" s="1">
        <v>21245000</v>
      </c>
      <c r="E81" s="1">
        <v>-11985000</v>
      </c>
      <c r="F81" s="1">
        <v>209712000</v>
      </c>
    </row>
    <row r="82" spans="1:14" ht="19" x14ac:dyDescent="0.25">
      <c r="A82" s="5" t="s">
        <v>70</v>
      </c>
      <c r="B82" s="1">
        <v>-332000</v>
      </c>
      <c r="C82" s="1">
        <v>-1193000</v>
      </c>
      <c r="D82" s="1">
        <v>-1652000</v>
      </c>
      <c r="E82" s="1">
        <v>-5591000</v>
      </c>
      <c r="F82" s="1">
        <v>2662000</v>
      </c>
    </row>
    <row r="83" spans="1:14" ht="21" x14ac:dyDescent="0.25">
      <c r="A83" s="5" t="s">
        <v>34</v>
      </c>
      <c r="B83" s="1" t="s">
        <v>92</v>
      </c>
      <c r="C83" s="1" t="s">
        <v>92</v>
      </c>
      <c r="D83" s="1" t="s">
        <v>92</v>
      </c>
      <c r="E83" s="1">
        <v>24000</v>
      </c>
      <c r="F83" s="1" t="s">
        <v>92</v>
      </c>
      <c r="M83" s="66" t="s">
        <v>126</v>
      </c>
      <c r="N83" s="67"/>
    </row>
    <row r="84" spans="1:14" ht="19" x14ac:dyDescent="0.25">
      <c r="A84" s="5" t="s">
        <v>47</v>
      </c>
      <c r="B84" s="1">
        <v>1315000</v>
      </c>
      <c r="C84" s="1">
        <v>4131000</v>
      </c>
      <c r="D84" s="1">
        <v>10018000</v>
      </c>
      <c r="E84" s="1">
        <v>5007000</v>
      </c>
      <c r="F84" s="1">
        <v>16648000</v>
      </c>
      <c r="M84" s="68" t="s">
        <v>127</v>
      </c>
      <c r="N84" s="69"/>
    </row>
    <row r="85" spans="1:14" ht="20" x14ac:dyDescent="0.25">
      <c r="A85" s="5" t="s">
        <v>71</v>
      </c>
      <c r="B85" s="1">
        <v>-215000</v>
      </c>
      <c r="C85" s="1">
        <v>-252000</v>
      </c>
      <c r="D85" s="1">
        <v>-377000</v>
      </c>
      <c r="E85" s="1">
        <v>-904000</v>
      </c>
      <c r="F85" s="1">
        <v>-8939000</v>
      </c>
      <c r="M85" s="24" t="s">
        <v>128</v>
      </c>
      <c r="N85" s="25">
        <f>F17</f>
        <v>-12093000</v>
      </c>
    </row>
    <row r="86" spans="1:14" ht="20" x14ac:dyDescent="0.25">
      <c r="A86" s="5" t="s">
        <v>72</v>
      </c>
      <c r="B86" s="1" t="s">
        <v>92</v>
      </c>
      <c r="C86" s="1">
        <v>5000</v>
      </c>
      <c r="D86" s="1" t="s">
        <v>92</v>
      </c>
      <c r="E86" s="1">
        <v>90334000</v>
      </c>
      <c r="F86" s="1">
        <v>-1149000</v>
      </c>
      <c r="M86" s="24" t="s">
        <v>129</v>
      </c>
      <c r="N86" s="25">
        <f>F56</f>
        <v>3245000</v>
      </c>
    </row>
    <row r="87" spans="1:14" ht="20" x14ac:dyDescent="0.25">
      <c r="A87" s="6" t="s">
        <v>73</v>
      </c>
      <c r="B87" s="10">
        <v>-7987000</v>
      </c>
      <c r="C87" s="10">
        <v>7028000</v>
      </c>
      <c r="D87" s="10">
        <v>29350000</v>
      </c>
      <c r="E87" s="10">
        <v>15748000</v>
      </c>
      <c r="F87" s="10">
        <v>81485000</v>
      </c>
      <c r="M87" s="24" t="s">
        <v>130</v>
      </c>
      <c r="N87" s="25">
        <f>F61</f>
        <v>16579000</v>
      </c>
    </row>
    <row r="88" spans="1:14" ht="20" x14ac:dyDescent="0.25">
      <c r="A88" s="5" t="s">
        <v>74</v>
      </c>
      <c r="B88" s="1">
        <v>-108000</v>
      </c>
      <c r="C88" s="1">
        <v>-264000</v>
      </c>
      <c r="D88" s="1">
        <v>-456000</v>
      </c>
      <c r="E88" s="1">
        <v>-2883000</v>
      </c>
      <c r="F88" s="1">
        <v>-8352000</v>
      </c>
      <c r="M88" s="34" t="s">
        <v>131</v>
      </c>
      <c r="N88" s="35">
        <f>N85/(N86+N87)</f>
        <v>-0.61001815980629537</v>
      </c>
    </row>
    <row r="89" spans="1:14" ht="20" customHeight="1" x14ac:dyDescent="0.25">
      <c r="A89" s="14" t="s">
        <v>105</v>
      </c>
      <c r="B89" s="15">
        <f t="shared" ref="B89:F89" si="5">(-1*B88)/B3</f>
        <v>2.7950310559006213E-3</v>
      </c>
      <c r="C89" s="15">
        <f t="shared" si="5"/>
        <v>4.0089898560408191E-3</v>
      </c>
      <c r="D89" s="15">
        <f t="shared" si="5"/>
        <v>3.3437213565536204E-3</v>
      </c>
      <c r="E89" s="15">
        <f t="shared" si="5"/>
        <v>1.1754201423713887E-2</v>
      </c>
      <c r="F89" s="15">
        <f t="shared" si="5"/>
        <v>2.0418091720062877E-2</v>
      </c>
      <c r="M89" s="24" t="s">
        <v>106</v>
      </c>
      <c r="N89" s="25">
        <f>F27</f>
        <v>-6012000</v>
      </c>
    </row>
    <row r="90" spans="1:14" ht="20" x14ac:dyDescent="0.25">
      <c r="A90" s="5" t="s">
        <v>75</v>
      </c>
      <c r="B90" s="1" t="s">
        <v>92</v>
      </c>
      <c r="C90" s="1" t="s">
        <v>92</v>
      </c>
      <c r="D90" s="1" t="s">
        <v>92</v>
      </c>
      <c r="E90" s="1" t="s">
        <v>92</v>
      </c>
      <c r="F90" s="1">
        <v>-317483000</v>
      </c>
      <c r="M90" s="24" t="s">
        <v>19</v>
      </c>
      <c r="N90" s="25">
        <f>F25</f>
        <v>-201417000</v>
      </c>
    </row>
    <row r="91" spans="1:14" ht="20" x14ac:dyDescent="0.25">
      <c r="A91" s="5" t="s">
        <v>76</v>
      </c>
      <c r="B91" s="1">
        <v>-1504000</v>
      </c>
      <c r="C91" s="1">
        <v>-188000</v>
      </c>
      <c r="D91" s="1">
        <v>-23590000</v>
      </c>
      <c r="E91" s="1">
        <v>-120011000</v>
      </c>
      <c r="F91" s="1">
        <v>-100265000</v>
      </c>
      <c r="M91" s="34" t="s">
        <v>132</v>
      </c>
      <c r="N91" s="35">
        <f>N89/N90</f>
        <v>2.9848523213035643E-2</v>
      </c>
    </row>
    <row r="92" spans="1:14" ht="20" x14ac:dyDescent="0.25">
      <c r="A92" s="5" t="s">
        <v>77</v>
      </c>
      <c r="B92" s="1" t="s">
        <v>92</v>
      </c>
      <c r="C92" s="1" t="s">
        <v>92</v>
      </c>
      <c r="D92" s="1" t="s">
        <v>92</v>
      </c>
      <c r="E92" s="1">
        <v>82405000</v>
      </c>
      <c r="F92" s="1">
        <v>95999000</v>
      </c>
      <c r="M92" s="36" t="s">
        <v>133</v>
      </c>
      <c r="N92" s="37">
        <f>N88*(1-N91)</f>
        <v>-0.59181001860294391</v>
      </c>
    </row>
    <row r="93" spans="1:14" ht="19" x14ac:dyDescent="0.25">
      <c r="A93" s="5" t="s">
        <v>78</v>
      </c>
      <c r="B93" s="1" t="s">
        <v>92</v>
      </c>
      <c r="C93" s="1" t="s">
        <v>92</v>
      </c>
      <c r="D93" s="1" t="s">
        <v>92</v>
      </c>
      <c r="E93" s="1" t="s">
        <v>92</v>
      </c>
      <c r="F93" s="1" t="s">
        <v>92</v>
      </c>
      <c r="M93" s="68" t="s">
        <v>134</v>
      </c>
      <c r="N93" s="69"/>
    </row>
    <row r="94" spans="1:14" ht="20" x14ac:dyDescent="0.25">
      <c r="A94" s="6" t="s">
        <v>79</v>
      </c>
      <c r="B94" s="10">
        <v>-1612000</v>
      </c>
      <c r="C94" s="10">
        <v>-452000</v>
      </c>
      <c r="D94" s="10">
        <v>-24046000</v>
      </c>
      <c r="E94" s="10">
        <v>-40489000</v>
      </c>
      <c r="F94" s="10">
        <v>-330101000</v>
      </c>
      <c r="M94" s="24" t="s">
        <v>135</v>
      </c>
      <c r="N94" s="38">
        <v>4.095E-2</v>
      </c>
    </row>
    <row r="95" spans="1:14" ht="20" x14ac:dyDescent="0.25">
      <c r="A95" s="5" t="s">
        <v>80</v>
      </c>
      <c r="B95" s="1" t="s">
        <v>92</v>
      </c>
      <c r="C95" s="1" t="s">
        <v>92</v>
      </c>
      <c r="D95" s="1" t="s">
        <v>92</v>
      </c>
      <c r="E95" s="1" t="s">
        <v>92</v>
      </c>
      <c r="F95" s="1" t="s">
        <v>92</v>
      </c>
      <c r="M95" s="59" t="s">
        <v>136</v>
      </c>
      <c r="N95" s="60">
        <f>2.43</f>
        <v>2.4300000000000002</v>
      </c>
    </row>
    <row r="96" spans="1:14" ht="20" x14ac:dyDescent="0.25">
      <c r="A96" s="5" t="s">
        <v>81</v>
      </c>
      <c r="B96" s="1" t="s">
        <v>92</v>
      </c>
      <c r="C96" s="1" t="s">
        <v>92</v>
      </c>
      <c r="D96" s="1" t="s">
        <v>92</v>
      </c>
      <c r="E96" s="1">
        <v>396494000</v>
      </c>
      <c r="F96" s="1" t="s">
        <v>92</v>
      </c>
      <c r="M96" s="24" t="s">
        <v>137</v>
      </c>
      <c r="N96" s="38">
        <v>8.4000000000000005E-2</v>
      </c>
    </row>
    <row r="97" spans="1:14" ht="20" x14ac:dyDescent="0.25">
      <c r="A97" s="5" t="s">
        <v>82</v>
      </c>
      <c r="B97" s="1" t="s">
        <v>92</v>
      </c>
      <c r="C97" s="1" t="s">
        <v>92</v>
      </c>
      <c r="D97" s="1" t="s">
        <v>92</v>
      </c>
      <c r="E97" s="1" t="s">
        <v>92</v>
      </c>
      <c r="F97" s="1" t="s">
        <v>92</v>
      </c>
      <c r="M97" s="36" t="s">
        <v>138</v>
      </c>
      <c r="N97" s="37">
        <f>(N94)+((N95)*(N96-N94))</f>
        <v>0.14556150000000001</v>
      </c>
    </row>
    <row r="98" spans="1:14" ht="19" x14ac:dyDescent="0.25">
      <c r="A98" s="5" t="s">
        <v>83</v>
      </c>
      <c r="B98" s="1" t="s">
        <v>92</v>
      </c>
      <c r="C98" s="1" t="s">
        <v>92</v>
      </c>
      <c r="D98" s="1" t="s">
        <v>92</v>
      </c>
      <c r="E98" s="1" t="s">
        <v>92</v>
      </c>
      <c r="F98" s="1" t="s">
        <v>92</v>
      </c>
      <c r="M98" s="68" t="s">
        <v>139</v>
      </c>
      <c r="N98" s="69"/>
    </row>
    <row r="99" spans="1:14" ht="20" x14ac:dyDescent="0.25">
      <c r="A99" s="5" t="s">
        <v>84</v>
      </c>
      <c r="B99" s="1">
        <v>19972000</v>
      </c>
      <c r="C99" s="1">
        <v>147000</v>
      </c>
      <c r="D99" s="1">
        <v>59360000</v>
      </c>
      <c r="E99" s="1">
        <v>2113000</v>
      </c>
      <c r="F99" s="1">
        <v>1239000</v>
      </c>
      <c r="M99" s="24" t="s">
        <v>140</v>
      </c>
      <c r="N99" s="25">
        <f>N86+N87</f>
        <v>19824000</v>
      </c>
    </row>
    <row r="100" spans="1:14" ht="20" x14ac:dyDescent="0.25">
      <c r="A100" s="6" t="s">
        <v>85</v>
      </c>
      <c r="B100" s="10">
        <v>19972000</v>
      </c>
      <c r="C100" s="10">
        <v>147000</v>
      </c>
      <c r="D100" s="10">
        <v>59360000</v>
      </c>
      <c r="E100" s="10">
        <v>398607000</v>
      </c>
      <c r="F100" s="10">
        <v>1239000</v>
      </c>
      <c r="M100" s="34" t="s">
        <v>141</v>
      </c>
      <c r="N100" s="35">
        <f>N99/N103</f>
        <v>3.1962197413970593E-3</v>
      </c>
    </row>
    <row r="101" spans="1:14" ht="20" x14ac:dyDescent="0.25">
      <c r="A101" s="5" t="s">
        <v>86</v>
      </c>
      <c r="B101" s="1" t="s">
        <v>92</v>
      </c>
      <c r="C101" s="1" t="s">
        <v>92</v>
      </c>
      <c r="D101" s="1" t="s">
        <v>92</v>
      </c>
      <c r="E101" s="1" t="s">
        <v>92</v>
      </c>
      <c r="F101" s="1" t="s">
        <v>92</v>
      </c>
      <c r="M101" s="24" t="s">
        <v>142</v>
      </c>
      <c r="N101" s="39" cm="1">
        <f t="array" ref="N101">_FV(A1,"Market cap",TRUE)</f>
        <v>6182503000</v>
      </c>
    </row>
    <row r="102" spans="1:14" ht="20" x14ac:dyDescent="0.25">
      <c r="A102" s="6" t="s">
        <v>87</v>
      </c>
      <c r="B102" s="10">
        <v>10373000</v>
      </c>
      <c r="C102" s="10">
        <v>6723000</v>
      </c>
      <c r="D102" s="10">
        <v>64664000</v>
      </c>
      <c r="E102" s="10">
        <v>373866000</v>
      </c>
      <c r="F102" s="10">
        <v>-247377000</v>
      </c>
      <c r="M102" s="34" t="s">
        <v>143</v>
      </c>
      <c r="N102" s="35">
        <f>N101/N103</f>
        <v>0.99680378025860294</v>
      </c>
    </row>
    <row r="103" spans="1:14" ht="20" x14ac:dyDescent="0.25">
      <c r="A103" s="5" t="s">
        <v>88</v>
      </c>
      <c r="B103" s="1">
        <v>3273000</v>
      </c>
      <c r="C103" s="1">
        <v>13646000</v>
      </c>
      <c r="D103" s="1">
        <v>20369000</v>
      </c>
      <c r="E103" s="1">
        <v>85033000</v>
      </c>
      <c r="F103" s="1">
        <v>458899000</v>
      </c>
      <c r="M103" s="36" t="s">
        <v>144</v>
      </c>
      <c r="N103" s="40">
        <f>N99+N101</f>
        <v>6202327000</v>
      </c>
    </row>
    <row r="104" spans="1:14" ht="20" thickBot="1" x14ac:dyDescent="0.3">
      <c r="A104" s="7" t="s">
        <v>89</v>
      </c>
      <c r="B104" s="11">
        <v>13646000</v>
      </c>
      <c r="C104" s="11">
        <v>20369000</v>
      </c>
      <c r="D104" s="11">
        <v>85033000</v>
      </c>
      <c r="E104" s="11">
        <v>458899000</v>
      </c>
      <c r="F104" s="11">
        <v>211522000</v>
      </c>
      <c r="M104" s="68" t="s">
        <v>145</v>
      </c>
      <c r="N104" s="69"/>
    </row>
    <row r="105" spans="1:14" ht="21" thickTop="1" x14ac:dyDescent="0.25">
      <c r="A105" s="14" t="s">
        <v>107</v>
      </c>
      <c r="B105" s="1"/>
      <c r="C105" s="15">
        <f>(C106/B106)-1</f>
        <v>-1.8355775169857937</v>
      </c>
      <c r="D105" s="15">
        <f>(D106/C106)-1</f>
        <v>3.2717327025428737</v>
      </c>
      <c r="E105" s="15">
        <f>(E106/D106)-1</f>
        <v>-0.55475185159548701</v>
      </c>
      <c r="F105" s="15">
        <f>(F106/E106)-1</f>
        <v>4.6846482705013601</v>
      </c>
      <c r="G105" s="61">
        <v>88178000</v>
      </c>
      <c r="H105" s="61">
        <v>130900000</v>
      </c>
      <c r="I105" s="61">
        <v>199700000</v>
      </c>
      <c r="J105" s="61">
        <v>317300000</v>
      </c>
      <c r="K105" s="61">
        <v>478800000</v>
      </c>
      <c r="L105" s="15"/>
      <c r="M105" s="26" t="s">
        <v>108</v>
      </c>
      <c r="N105" s="27">
        <f>(N100*N92)+(N102*N97)</f>
        <v>0.14320469859549737</v>
      </c>
    </row>
    <row r="106" spans="1:14" ht="19" x14ac:dyDescent="0.25">
      <c r="A106" s="5" t="s">
        <v>90</v>
      </c>
      <c r="B106" s="1">
        <v>-8095000</v>
      </c>
      <c r="C106" s="1">
        <v>6764000</v>
      </c>
      <c r="D106" s="1">
        <v>28894000</v>
      </c>
      <c r="E106" s="1">
        <v>12865000</v>
      </c>
      <c r="F106" s="1">
        <v>73133000</v>
      </c>
      <c r="G106" s="41">
        <f>F106*(1+$N$106)</f>
        <v>94816923.764135599</v>
      </c>
      <c r="H106" s="41">
        <f t="shared" ref="H106:K106" si="6">G106*(1+$N$106)</f>
        <v>122930127.74115519</v>
      </c>
      <c r="I106" s="41">
        <f t="shared" si="6"/>
        <v>159378892.57036582</v>
      </c>
      <c r="J106" s="41">
        <f t="shared" si="6"/>
        <v>206634710.82078862</v>
      </c>
      <c r="K106" s="41">
        <f t="shared" si="6"/>
        <v>267901872.24534646</v>
      </c>
      <c r="L106" s="42" t="s">
        <v>146</v>
      </c>
      <c r="M106" s="43" t="s">
        <v>147</v>
      </c>
      <c r="N106" s="44">
        <f>(SUM(G4:K4)/5)</f>
        <v>0.29649985320082062</v>
      </c>
    </row>
    <row r="107" spans="1:14" ht="19" x14ac:dyDescent="0.25">
      <c r="A107" s="5"/>
      <c r="B107" s="13"/>
      <c r="C107" s="13"/>
      <c r="D107" s="13"/>
      <c r="E107" s="13"/>
      <c r="F107" s="13"/>
      <c r="G107" s="42"/>
      <c r="H107" s="42"/>
      <c r="I107" s="42"/>
      <c r="J107" s="42"/>
      <c r="K107" s="62">
        <f>K105*(1+N107)/(N108-N107)</f>
        <v>4151865415.091835</v>
      </c>
      <c r="L107" s="46" t="s">
        <v>148</v>
      </c>
      <c r="M107" s="47" t="s">
        <v>149</v>
      </c>
      <c r="N107" s="48">
        <v>2.5000000000000001E-2</v>
      </c>
    </row>
    <row r="108" spans="1:14" ht="19" x14ac:dyDescent="0.25">
      <c r="G108" s="45">
        <f t="shared" ref="G108:I108" si="7">G107+G106</f>
        <v>94816923.764135599</v>
      </c>
      <c r="H108" s="45">
        <f t="shared" si="7"/>
        <v>122930127.74115519</v>
      </c>
      <c r="I108" s="45">
        <f t="shared" si="7"/>
        <v>159378892.57036582</v>
      </c>
      <c r="J108" s="45">
        <f>J107+J106</f>
        <v>206634710.82078862</v>
      </c>
      <c r="K108" s="62">
        <f>K107+K105</f>
        <v>4630665415.091835</v>
      </c>
      <c r="L108" s="46" t="s">
        <v>144</v>
      </c>
      <c r="M108" s="49" t="s">
        <v>150</v>
      </c>
      <c r="N108" s="50">
        <f>N105</f>
        <v>0.14320469859549737</v>
      </c>
    </row>
    <row r="109" spans="1:14" ht="19" x14ac:dyDescent="0.25">
      <c r="G109" s="63" t="s">
        <v>151</v>
      </c>
      <c r="H109" s="64"/>
    </row>
    <row r="110" spans="1:14" ht="20" x14ac:dyDescent="0.25">
      <c r="G110" s="51" t="s">
        <v>152</v>
      </c>
      <c r="H110" s="39">
        <f>NPV(N108,G108,H108,I108,J108,K108)</f>
        <v>2776154516.9028864</v>
      </c>
    </row>
    <row r="111" spans="1:14" ht="20" x14ac:dyDescent="0.25">
      <c r="G111" s="51" t="s">
        <v>153</v>
      </c>
      <c r="H111" s="39">
        <f>F40</f>
        <v>228199000</v>
      </c>
    </row>
    <row r="112" spans="1:14" ht="20" x14ac:dyDescent="0.25">
      <c r="G112" s="51" t="s">
        <v>140</v>
      </c>
      <c r="H112" s="39">
        <f>N99</f>
        <v>19824000</v>
      </c>
    </row>
    <row r="113" spans="7:8" ht="20" x14ac:dyDescent="0.25">
      <c r="G113" s="51" t="s">
        <v>154</v>
      </c>
      <c r="H113" s="39">
        <f>H110+H111-H112</f>
        <v>2984529516.9028864</v>
      </c>
    </row>
    <row r="114" spans="7:8" ht="20" x14ac:dyDescent="0.25">
      <c r="G114" s="51" t="s">
        <v>159</v>
      </c>
      <c r="H114" s="52">
        <f>F34*(1+(L16*4))</f>
        <v>107498098.33493128</v>
      </c>
    </row>
    <row r="115" spans="7:8" ht="20" x14ac:dyDescent="0.25">
      <c r="G115" s="53" t="s">
        <v>155</v>
      </c>
      <c r="H115" s="54">
        <f>H113/H114</f>
        <v>27.763556408263174</v>
      </c>
    </row>
    <row r="116" spans="7:8" ht="20" x14ac:dyDescent="0.25">
      <c r="G116" s="51" t="s">
        <v>156</v>
      </c>
      <c r="H116" s="55" cm="1">
        <f t="array" ref="H116">_FV(A1,"Price")</f>
        <v>37.33</v>
      </c>
    </row>
    <row r="117" spans="7:8" ht="20" x14ac:dyDescent="0.25">
      <c r="G117" s="56" t="s">
        <v>157</v>
      </c>
      <c r="H117" s="57">
        <f>H115/H116-1</f>
        <v>-0.25626690575239286</v>
      </c>
    </row>
    <row r="118" spans="7:8" ht="20" x14ac:dyDescent="0.25">
      <c r="G118" s="56" t="s">
        <v>158</v>
      </c>
      <c r="H118" s="58" t="str">
        <f>IF(H115&gt;H116,"BUY","SELL")</f>
        <v>SELL</v>
      </c>
    </row>
  </sheetData>
  <mergeCells count="7">
    <mergeCell ref="G109:H109"/>
    <mergeCell ref="L21:O34"/>
    <mergeCell ref="M83:N83"/>
    <mergeCell ref="M84:N84"/>
    <mergeCell ref="M93:N93"/>
    <mergeCell ref="M98:N98"/>
    <mergeCell ref="M104:N104"/>
  </mergeCells>
  <hyperlinks>
    <hyperlink ref="A1" r:id="rId1" tooltip="https://roic.ai/company/GLBE" display="ROIC.AI | GL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1" r:id="rId12" display="https://finbox.com/NASDAQGS:GLBE/explorer/revenue_proj" xr:uid="{C0434844-80A7-6B42-92EC-6EAE982712E4}"/>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2023-03-14T04:14:24Z</dcterms:created>
  <dcterms:modified xsi:type="dcterms:W3CDTF">2023-06-23T11:49:26Z</dcterms:modified>
</cp:coreProperties>
</file>