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5E3B5F43-156D-684E-A868-98FE72680F44}"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30" i="1" l="1"/>
  <c r="L30" i="1"/>
  <c r="M30" i="1"/>
  <c r="N30" i="1"/>
  <c r="J30" i="1"/>
  <c r="J29" i="1"/>
  <c r="K29" i="1"/>
  <c r="L29" i="1"/>
  <c r="M29" i="1"/>
  <c r="N29" i="1"/>
  <c r="J20" i="1"/>
  <c r="K20" i="1"/>
  <c r="L20" i="1"/>
  <c r="M20" i="1"/>
  <c r="N20" i="1"/>
  <c r="J21" i="1"/>
  <c r="K21" i="1"/>
  <c r="L21" i="1"/>
  <c r="M21" i="1"/>
  <c r="N21" i="1"/>
  <c r="K114" i="1" a="1"/>
  <c r="K114" i="1" s="1"/>
  <c r="K116" i="1" a="1"/>
  <c r="K116" i="1" s="1"/>
  <c r="Q101" i="1" a="1"/>
  <c r="Q101" i="1" s="1"/>
  <c r="P19" i="1" s="1"/>
  <c r="Q95" i="1" a="1"/>
  <c r="Q95" i="1" s="1"/>
  <c r="Q97" i="1" s="1"/>
  <c r="K111" i="1"/>
  <c r="Q90" i="1"/>
  <c r="Q89" i="1"/>
  <c r="Q91" i="1"/>
  <c r="Q87" i="1"/>
  <c r="Q86" i="1"/>
  <c r="Q99" i="1"/>
  <c r="Q85" i="1"/>
  <c r="Q88" i="1"/>
  <c r="Q92" i="1"/>
  <c r="O19" i="1"/>
  <c r="O16" i="1"/>
  <c r="R13" i="1"/>
  <c r="Q13" i="1"/>
  <c r="P13" i="1"/>
  <c r="O13" i="1"/>
  <c r="R10" i="1"/>
  <c r="Q10" i="1"/>
  <c r="P10" i="1"/>
  <c r="O10" i="1"/>
  <c r="R7" i="1"/>
  <c r="Q7" i="1"/>
  <c r="P7" i="1"/>
  <c r="O7" i="1"/>
  <c r="R4" i="1"/>
  <c r="Q4" i="1"/>
  <c r="P4" i="1"/>
  <c r="O4" i="1"/>
  <c r="K112" i="1"/>
  <c r="I21" i="1"/>
  <c r="I20" i="1"/>
  <c r="I29" i="1"/>
  <c r="I105" i="1"/>
  <c r="I80" i="1"/>
  <c r="I89" i="1"/>
  <c r="I54" i="1"/>
  <c r="I48" i="1"/>
  <c r="H40" i="1"/>
  <c r="I40" i="1"/>
  <c r="I35" i="1"/>
  <c r="I23" i="1"/>
  <c r="I16" i="1"/>
  <c r="I12" i="1"/>
  <c r="I13" i="1"/>
  <c r="N4" i="1"/>
  <c r="I9" i="1"/>
  <c r="I5" i="1"/>
  <c r="I7" i="1"/>
  <c r="M4" i="1"/>
  <c r="L4" i="1"/>
  <c r="K4" i="1"/>
  <c r="J4" i="1"/>
  <c r="I4" i="1"/>
  <c r="H105" i="1"/>
  <c r="G105" i="1"/>
  <c r="F105" i="1"/>
  <c r="E105" i="1"/>
  <c r="D105" i="1"/>
  <c r="C105" i="1"/>
  <c r="H89" i="1"/>
  <c r="G89" i="1"/>
  <c r="F89" i="1"/>
  <c r="E89" i="1"/>
  <c r="D89" i="1"/>
  <c r="C89" i="1"/>
  <c r="B89" i="1"/>
  <c r="H80" i="1"/>
  <c r="G80" i="1"/>
  <c r="F80" i="1"/>
  <c r="E80" i="1"/>
  <c r="D80" i="1"/>
  <c r="C80" i="1"/>
  <c r="B80" i="1"/>
  <c r="H35" i="1"/>
  <c r="G35" i="1"/>
  <c r="F35" i="1"/>
  <c r="E35" i="1"/>
  <c r="D35" i="1"/>
  <c r="C35" i="1"/>
  <c r="H29" i="1"/>
  <c r="G29" i="1"/>
  <c r="F29" i="1"/>
  <c r="E29" i="1"/>
  <c r="D29" i="1"/>
  <c r="C29" i="1"/>
  <c r="H20" i="1"/>
  <c r="G20" i="1"/>
  <c r="F20" i="1"/>
  <c r="E20" i="1"/>
  <c r="D20" i="1"/>
  <c r="C20" i="1"/>
  <c r="H13" i="1"/>
  <c r="G13" i="1"/>
  <c r="F13" i="1"/>
  <c r="E13" i="1"/>
  <c r="D13" i="1"/>
  <c r="C13" i="1"/>
  <c r="B13" i="1"/>
  <c r="H9" i="1"/>
  <c r="G9" i="1"/>
  <c r="F9" i="1"/>
  <c r="E9" i="1"/>
  <c r="D9" i="1"/>
  <c r="C9" i="1"/>
  <c r="B9" i="1"/>
  <c r="H4" i="1"/>
  <c r="G4" i="1"/>
  <c r="F4" i="1"/>
  <c r="E4" i="1"/>
  <c r="D4" i="1"/>
  <c r="C4" i="1"/>
  <c r="Q19" i="1" l="1"/>
  <c r="R19" i="1"/>
  <c r="Q106" i="1"/>
  <c r="J106" i="1" s="1"/>
  <c r="K106" i="1" s="1"/>
  <c r="R16" i="1"/>
  <c r="Q16" i="1"/>
  <c r="P16" i="1"/>
  <c r="Q103" i="1"/>
  <c r="Q100" i="1" s="1"/>
  <c r="J108" i="1" l="1"/>
  <c r="L106" i="1"/>
  <c r="K108" i="1"/>
  <c r="Q102" i="1"/>
  <c r="Q105" i="1" s="1"/>
  <c r="Q108" i="1" s="1"/>
  <c r="N107" i="1" s="1"/>
  <c r="N108" i="1" s="1"/>
  <c r="L108" i="1" l="1"/>
  <c r="M106" i="1"/>
  <c r="M108" i="1" l="1"/>
  <c r="K110" i="1" s="1"/>
  <c r="K113" i="1" s="1"/>
  <c r="K115" i="1" s="1"/>
  <c r="K118" i="1" s="1"/>
  <c r="N106" i="1"/>
  <c r="K117"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6"/>
        </ext>
      </extLst>
    </bk>
  </futureMetadata>
  <cellMetadata count="1">
    <bk>
      <rc t="1" v="0"/>
    </bk>
  </cellMetadata>
  <valueMetadata count="1">
    <bk>
      <rc t="2" v="0"/>
    </bk>
  </valueMetadata>
</metadata>
</file>

<file path=xl/sharedStrings.xml><?xml version="1.0" encoding="utf-8"?>
<sst xmlns="http://schemas.openxmlformats.org/spreadsheetml/2006/main" count="305" uniqueCount="163">
  <si>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</si>
  <si>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</si>
  <si>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</si>
  <si>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</si>
  <si>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</si>
  <si>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</si>
  <si>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</si>
  <si>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</si>
  <si>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</si>
  <si>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</si>
  <si>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</si>
  <si>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</si>
  <si>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</si>
  <si>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</si>
  <si>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</si>
  <si>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</si>
  <si>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</si>
  <si>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</si>
  <si>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</si>
  <si>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</si>
  <si>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</si>
  <si>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</si>
  <si>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</si>
  <si>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</si>
  <si>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</si>
  <si>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</si>
  <si>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</si>
  <si>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</si>
  <si>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</si>
  <si>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</si>
  <si>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</si>
  <si>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</si>
  <si>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</si>
  <si>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</si>
  <si>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</si>
  <si>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</si>
  <si>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</si>
  <si>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</si>
  <si>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</si>
  <si>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</si>
  <si>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</si>
  <si>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</si>
  <si>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</si>
  <si>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</si>
  <si>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</si>
  <si>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</si>
  <si>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</si>
  <si>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</si>
  <si>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</si>
  <si>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</si>
  <si>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</si>
  <si>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</si>
  <si>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</si>
  <si>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</si>
  <si>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</si>
  <si>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</si>
  <si>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</si>
  <si>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</si>
  <si>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</si>
  <si>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</si>
  <si>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</si>
  <si>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</si>
  <si>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</si>
  <si>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</si>
  <si>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</si>
  <si>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</si>
  <si>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</si>
  <si>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</si>
  <si>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</si>
  <si>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</si>
  <si>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</si>
  <si>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</si>
  <si>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</si>
  <si>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</si>
  <si>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</si>
  <si>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</si>
  <si>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</si>
  <si>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</si>
  <si>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</si>
  <si>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</si>
  <si>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</si>
  <si>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</si>
  <si>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</si>
  <si>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</si>
  <si>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</si>
  <si>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</si>
  <si>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</si>
  <si>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</si>
  <si>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</si>
  <si>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</si>
  <si>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</si>
  <si>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</si>
  <si>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</si>
  <si>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</si>
  <si>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</si>
  <si>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</si>
  <si>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</si>
  <si>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</si>
  <si>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</si>
  <si>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</si>
  <si>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</si>
  <si>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</si>
  <si>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</si>
  <si>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</si>
  <si>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</si>
  <si>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</si>
  <si>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</si>
  <si>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</si>
  <si>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</si>
  <si>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</si>
  <si>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</si>
  <si>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</si>
  <si>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</si>
  <si>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</si>
  <si>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</si>
  <si>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</si>
  <si>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</si>
  <si>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</si>
  <si>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</si>
  <si>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</si>
  <si>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</si>
  <si>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</si>
  <si>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</si>
  <si>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</si>
  <si>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</si>
  <si>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</si>
  <si>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</si>
  <si>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</si>
  <si>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</si>
  <si>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</si>
  <si>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</si>
  <si>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</si>
  <si>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</si>
  <si>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</si>
  <si>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</si>
  <si>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</si>
  <si>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</si>
  <si>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</si>
  <si>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</si>
  <si>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</si>
  <si>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</si>
  <si>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</si>
  <si>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</si>
  <si>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</si>
  <si>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</si>
  <si>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</si>
  <si>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</si>
  <si>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</si>
  <si>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</si>
  <si>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</si>
  <si>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</si>
  <si>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</si>
  <si>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</si>
  <si>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</si>
  <si>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</si>
  <si>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</si>
  <si>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</si>
  <si>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</si>
  <si>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</si>
  <si>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Shares (No dilution)</t>
  </si>
  <si>
    <t>Forward P/S</t>
  </si>
  <si>
    <t>Forward P/E</t>
  </si>
  <si>
    <t>Forward P/FCF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</si>
</sst>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 \-"/>
    <numFmt numFmtId="165" formatCode="#.00%;\ \-#.00%;\ \-\ \-"/>
    <numFmt numFmtId="166" formatCode="#,##0.00_);\(#,##0.00\);\-\ \-"/>
    <numFmt numFmtId="167" formatCode="&quot;$&quot;#,##0.00"/>
    <numFmt numFmtId="168" formatCode="&quot;$&quot;#,##0"/>
    <numFmt numFmtId="169" formatCode="0.0"/>
  </numFmts>
  <fonts count="18">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sz val="12"/>
      <color rgb="FF000000"/>
      <name val="Times"/>
    </font>
    <font>
      <sz val="12"/>
      <color rgb="FF000000"/>
      <name val="Calibri"/>
      <family val="1"/>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s>
  <borders count="16">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top/>
      <bottom style="thin">
        <color indexed="64"/>
      </bottom>
      <diagonal/>
    </border>
  </borders>
  <cellStyleXfs count="2">
    <xf numFmtId="0" fontId="0" fillId="0" borderId="0"/>
    <xf numFmtId="9" fontId="14" fillId="0" borderId="0" applyFont="0" applyFill="0" applyBorder="0" applyAlignment="0" applyProtection="0"/>
  </cellStyleXfs>
  <cellXfs count="77">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8" fillId="0" borderId="0" xfId="0" applyFont="1" applyAlignment="1">
      <alignment indent="1"/>
    </xf>
    <xf numFmtId="9" fontId="1" fillId="0" borderId="0" xfId="0" applyNumberFormat="1" applyFont="1"/>
    <xf numFmtId="9" fontId="9" fillId="0" borderId="0" xfId="0" applyNumberFormat="1" applyFont="1"/>
    <xf numFmtId="9" fontId="10" fillId="0" borderId="5" xfId="0" applyNumberFormat="1" applyFont="1" applyBorder="1" applyAlignment="1">
      <alignment horizontal="center"/>
    </xf>
    <xf numFmtId="9" fontId="10" fillId="0" borderId="6" xfId="0" applyNumberFormat="1" applyFont="1" applyBorder="1" applyAlignment="1">
      <alignment horizontal="center"/>
    </xf>
    <xf numFmtId="9" fontId="10" fillId="0" borderId="0" xfId="0" applyNumberFormat="1" applyFont="1" applyAlignment="1">
      <alignment horizontal="center"/>
    </xf>
    <xf numFmtId="0" fontId="11" fillId="3" borderId="7" xfId="0" applyFont="1" applyFill="1" applyBorder="1" applyAlignment="1">
      <alignment horizontal="center" vertical="center" wrapText="1"/>
    </xf>
    <xf numFmtId="0" fontId="11" fillId="3" borderId="8" xfId="0" applyFont="1" applyFill="1" applyBorder="1" applyAlignment="1">
      <alignment horizontal="center" vertical="center" wrapText="1"/>
    </xf>
    <xf numFmtId="10" fontId="1" fillId="0" borderId="0" xfId="0" applyNumberFormat="1" applyFont="1"/>
    <xf numFmtId="0" fontId="11" fillId="4" borderId="11" xfId="0" applyFont="1" applyFill="1" applyBorder="1" applyAlignment="1">
      <alignment horizontal="left" vertical="center" wrapText="1"/>
    </xf>
    <xf numFmtId="10" fontId="11" fillId="4" borderId="6" xfId="0" applyNumberFormat="1" applyFont="1" applyFill="1" applyBorder="1"/>
    <xf numFmtId="0" fontId="12" fillId="0" borderId="4" xfId="0" applyFont="1" applyBorder="1"/>
    <xf numFmtId="164" fontId="9" fillId="0" borderId="0" xfId="0" applyNumberFormat="1" applyFont="1"/>
    <xf numFmtId="9" fontId="10" fillId="0" borderId="11" xfId="0" applyNumberFormat="1" applyFont="1" applyBorder="1" applyAlignment="1">
      <alignment horizontal="center"/>
    </xf>
    <xf numFmtId="0" fontId="13" fillId="0" borderId="0" xfId="0" applyFont="1"/>
    <xf numFmtId="164" fontId="1" fillId="0" borderId="7" xfId="0" applyNumberFormat="1" applyFont="1" applyBorder="1" applyAlignment="1">
      <alignment horizontal="center"/>
    </xf>
    <xf numFmtId="0" fontId="10" fillId="6" borderId="9" xfId="0" applyFont="1" applyFill="1" applyBorder="1" applyAlignment="1">
      <alignment horizontal="left" vertical="center" wrapText="1"/>
    </xf>
    <xf numFmtId="164" fontId="10" fillId="6" borderId="10" xfId="0" applyNumberFormat="1" applyFont="1" applyFill="1" applyBorder="1"/>
    <xf numFmtId="0" fontId="11" fillId="6" borderId="9" xfId="0" applyFont="1" applyFill="1" applyBorder="1" applyAlignment="1">
      <alignment horizontal="left" vertical="center" wrapText="1"/>
    </xf>
    <xf numFmtId="10" fontId="11" fillId="6" borderId="10" xfId="0" applyNumberFormat="1" applyFont="1" applyFill="1" applyBorder="1"/>
    <xf numFmtId="0" fontId="11" fillId="6" borderId="11" xfId="0" applyFont="1" applyFill="1" applyBorder="1" applyAlignment="1">
      <alignment horizontal="left" vertical="center" wrapText="1"/>
    </xf>
    <xf numFmtId="10" fontId="11" fillId="6" borderId="6" xfId="0" applyNumberFormat="1" applyFont="1" applyFill="1" applyBorder="1"/>
    <xf numFmtId="10" fontId="10" fillId="6" borderId="10" xfId="0" applyNumberFormat="1" applyFont="1" applyFill="1" applyBorder="1"/>
    <xf numFmtId="39" fontId="10" fillId="6" borderId="10" xfId="0" applyNumberFormat="1" applyFont="1" applyFill="1" applyBorder="1"/>
    <xf numFmtId="164" fontId="1" fillId="6" borderId="10" xfId="0" applyNumberFormat="1" applyFont="1" applyFill="1" applyBorder="1"/>
    <xf numFmtId="164" fontId="11" fillId="6" borderId="6" xfId="0" applyNumberFormat="1" applyFont="1" applyFill="1" applyBorder="1"/>
    <xf numFmtId="164" fontId="9" fillId="6" borderId="0" xfId="0" applyNumberFormat="1" applyFont="1" applyFill="1"/>
    <xf numFmtId="0" fontId="0" fillId="6" borderId="0" xfId="0" applyFill="1"/>
    <xf numFmtId="9" fontId="17" fillId="6" borderId="9" xfId="0" applyNumberFormat="1" applyFont="1" applyFill="1" applyBorder="1" applyAlignment="1">
      <alignment wrapText="1"/>
    </xf>
    <xf numFmtId="10" fontId="1" fillId="6" borderId="10" xfId="0" applyNumberFormat="1" applyFont="1" applyFill="1" applyBorder="1" applyAlignment="1">
      <alignment horizontal="right" vertical="center"/>
    </xf>
    <xf numFmtId="164" fontId="1" fillId="6" borderId="0" xfId="0" applyNumberFormat="1" applyFont="1" applyFill="1"/>
    <xf numFmtId="0" fontId="0" fillId="6" borderId="0" xfId="0" applyFill="1" applyAlignment="1">
      <alignment horizontal="left"/>
    </xf>
    <xf numFmtId="0" fontId="17"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7" fillId="6" borderId="11" xfId="0" applyFont="1" applyFill="1" applyBorder="1"/>
    <xf numFmtId="10" fontId="1" fillId="6" borderId="6" xfId="0" applyNumberFormat="1" applyFont="1" applyFill="1" applyBorder="1" applyAlignment="1">
      <alignment horizontal="right" vertical="center"/>
    </xf>
    <xf numFmtId="164" fontId="1" fillId="6" borderId="9" xfId="0" applyNumberFormat="1" applyFont="1" applyFill="1" applyBorder="1" applyAlignment="1">
      <alignment wrapText="1"/>
    </xf>
    <xf numFmtId="164" fontId="1" fillId="6" borderId="10" xfId="0" applyNumberFormat="1" applyFont="1" applyFill="1" applyBorder="1" applyAlignment="1">
      <alignment wrapText="1"/>
    </xf>
    <xf numFmtId="164" fontId="1" fillId="4" borderId="9" xfId="0" applyNumberFormat="1" applyFont="1" applyFill="1" applyBorder="1" applyAlignment="1">
      <alignment wrapText="1"/>
    </xf>
    <xf numFmtId="167" fontId="1" fillId="6" borderId="10" xfId="0" applyNumberFormat="1" applyFont="1" applyFill="1" applyBorder="1"/>
    <xf numFmtId="164" fontId="1" fillId="4" borderId="11" xfId="0" applyNumberFormat="1" applyFont="1" applyFill="1" applyBorder="1" applyAlignment="1">
      <alignment wrapText="1"/>
    </xf>
    <xf numFmtId="9" fontId="11" fillId="4" borderId="6" xfId="1" applyFont="1" applyFill="1" applyBorder="1"/>
    <xf numFmtId="0" fontId="11" fillId="4" borderId="6" xfId="0" applyFont="1" applyFill="1" applyBorder="1" applyAlignment="1">
      <alignment horizontal="right"/>
    </xf>
    <xf numFmtId="168" fontId="11" fillId="4" borderId="10" xfId="0" applyNumberFormat="1" applyFont="1" applyFill="1" applyBorder="1"/>
    <xf numFmtId="164" fontId="9" fillId="7" borderId="0" xfId="0" applyNumberFormat="1" applyFont="1" applyFill="1"/>
    <xf numFmtId="164" fontId="1" fillId="7" borderId="0" xfId="0" applyNumberFormat="1" applyFont="1" applyFill="1"/>
    <xf numFmtId="169" fontId="10" fillId="0" borderId="11" xfId="0" applyNumberFormat="1" applyFont="1" applyBorder="1" applyAlignment="1">
      <alignment horizontal="center"/>
    </xf>
    <xf numFmtId="169" fontId="10" fillId="0" borderId="5" xfId="0" applyNumberFormat="1" applyFont="1" applyBorder="1" applyAlignment="1">
      <alignment horizontal="center"/>
    </xf>
    <xf numFmtId="169" fontId="10" fillId="0" borderId="6" xfId="0" applyNumberFormat="1" applyFont="1" applyBorder="1" applyAlignment="1">
      <alignment horizontal="center"/>
    </xf>
    <xf numFmtId="169" fontId="10" fillId="0" borderId="7" xfId="0" applyNumberFormat="1" applyFont="1" applyBorder="1" applyAlignment="1">
      <alignment horizontal="center"/>
    </xf>
    <xf numFmtId="164" fontId="6" fillId="0" borderId="0" xfId="0" applyNumberFormat="1" applyFont="1"/>
    <xf numFmtId="165" fontId="2" fillId="0" borderId="15" xfId="0" applyNumberFormat="1" applyFont="1" applyBorder="1"/>
    <xf numFmtId="164" fontId="12" fillId="0" borderId="2" xfId="0" applyNumberFormat="1" applyFont="1" applyBorder="1"/>
    <xf numFmtId="165" fontId="9" fillId="0" borderId="15" xfId="0" applyNumberFormat="1" applyFont="1" applyBorder="1"/>
    <xf numFmtId="164" fontId="12" fillId="0" borderId="3" xfId="0" applyNumberFormat="1" applyFont="1" applyBorder="1"/>
    <xf numFmtId="165" fontId="9" fillId="0" borderId="0" xfId="0" applyNumberFormat="1" applyFont="1"/>
    <xf numFmtId="166" fontId="9" fillId="0" borderId="0" xfId="0" applyNumberFormat="1" applyFont="1"/>
    <xf numFmtId="0" fontId="1" fillId="4" borderId="13" xfId="0" applyFont="1" applyFill="1" applyBorder="1" applyAlignment="1">
      <alignment horizontal="center"/>
    </xf>
    <xf numFmtId="0" fontId="1" fillId="4" borderId="14" xfId="0" applyFont="1" applyFill="1" applyBorder="1" applyAlignment="1">
      <alignment horizontal="center"/>
    </xf>
    <xf numFmtId="0" fontId="15" fillId="4" borderId="12" xfId="0" applyFont="1" applyFill="1" applyBorder="1" applyAlignment="1">
      <alignment horizontal="center"/>
    </xf>
    <xf numFmtId="0" fontId="16" fillId="4" borderId="8" xfId="0" applyFont="1" applyFill="1" applyBorder="1" applyAlignment="1">
      <alignment horizontal="center"/>
    </xf>
    <xf numFmtId="0" fontId="11" fillId="5" borderId="12" xfId="0" applyFont="1" applyFill="1" applyBorder="1" applyAlignment="1">
      <alignment horizontal="center" vertical="center" wrapText="1"/>
    </xf>
    <xf numFmtId="0" fontId="11" fillId="5" borderId="8"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MDB</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7.6106250877112591E-2"/>
          <c:y val="0.1225373745187197"/>
          <c:w val="0.87170362337139584"/>
          <c:h val="0.7609528151043965"/>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1'!$B$3:$I$3</c:f>
              <c:numCache>
                <c:formatCode>#,###,,;\(#,###,,\);\ \-\ \-</c:formatCode>
                <c:ptCount val="8"/>
                <c:pt idx="0">
                  <c:v>65271000</c:v>
                </c:pt>
                <c:pt idx="1">
                  <c:v>101358000</c:v>
                </c:pt>
                <c:pt idx="2">
                  <c:v>154519000</c:v>
                </c:pt>
                <c:pt idx="3">
                  <c:v>267016000</c:v>
                </c:pt>
                <c:pt idx="4">
                  <c:v>421720000</c:v>
                </c:pt>
                <c:pt idx="5">
                  <c:v>590380000</c:v>
                </c:pt>
                <c:pt idx="6">
                  <c:v>873782000</c:v>
                </c:pt>
                <c:pt idx="7">
                  <c:v>1284000000</c:v>
                </c:pt>
              </c:numCache>
            </c:numRef>
          </c:val>
          <c:extLst>
            <c:ext xmlns:c16="http://schemas.microsoft.com/office/drawing/2014/chart" uri="{C3380CC4-5D6E-409C-BE32-E72D297353CC}">
              <c16:uniqueId val="{00000000-EFC8-0B4B-BA0E-AA2472D19531}"/>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1'!$B$19:$I$19</c:f>
              <c:numCache>
                <c:formatCode>#,###,,;\(#,###,,\);\ \-\ \-</c:formatCode>
                <c:ptCount val="8"/>
                <c:pt idx="0">
                  <c:v>-68958000</c:v>
                </c:pt>
                <c:pt idx="1">
                  <c:v>-82202000</c:v>
                </c:pt>
                <c:pt idx="2">
                  <c:v>-91361000</c:v>
                </c:pt>
                <c:pt idx="3">
                  <c:v>-86247000</c:v>
                </c:pt>
                <c:pt idx="4">
                  <c:v>-135421000</c:v>
                </c:pt>
                <c:pt idx="5">
                  <c:v>-182054000</c:v>
                </c:pt>
                <c:pt idx="6">
                  <c:v>-285244000</c:v>
                </c:pt>
                <c:pt idx="7">
                  <c:v>50909000</c:v>
                </c:pt>
              </c:numCache>
            </c:numRef>
          </c:val>
          <c:extLst>
            <c:ext xmlns:c16="http://schemas.microsoft.com/office/drawing/2014/chart" uri="{C3380CC4-5D6E-409C-BE32-E72D297353CC}">
              <c16:uniqueId val="{00000001-EFC8-0B4B-BA0E-AA2472D19531}"/>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1'!$B$106:$I$106</c:f>
              <c:numCache>
                <c:formatCode>#,###,,;\(#,###,,\);\ \-\ \-</c:formatCode>
                <c:ptCount val="8"/>
                <c:pt idx="0">
                  <c:v>-47429000</c:v>
                </c:pt>
                <c:pt idx="1">
                  <c:v>-39761000</c:v>
                </c:pt>
                <c:pt idx="2">
                  <c:v>-47016000</c:v>
                </c:pt>
                <c:pt idx="3">
                  <c:v>-48837000</c:v>
                </c:pt>
                <c:pt idx="4">
                  <c:v>-33104000</c:v>
                </c:pt>
                <c:pt idx="5">
                  <c:v>-54446000</c:v>
                </c:pt>
                <c:pt idx="6">
                  <c:v>-1092000</c:v>
                </c:pt>
                <c:pt idx="7">
                  <c:v>-20214000</c:v>
                </c:pt>
              </c:numCache>
            </c:numRef>
          </c:val>
          <c:extLst>
            <c:ext xmlns:c16="http://schemas.microsoft.com/office/drawing/2014/chart" uri="{C3380CC4-5D6E-409C-BE32-E72D297353CC}">
              <c16:uniqueId val="{00000002-EFC8-0B4B-BA0E-AA2472D19531}"/>
            </c:ext>
          </c:extLst>
        </c:ser>
        <c:dLbls>
          <c:showLegendKey val="0"/>
          <c:showVal val="0"/>
          <c:showCatName val="0"/>
          <c:showSerName val="0"/>
          <c:showPercent val="0"/>
          <c:showBubbleSize val="0"/>
        </c:dLbls>
        <c:gapWidth val="100"/>
        <c:overlap val="-24"/>
        <c:axId val="698407487"/>
        <c:axId val="698442431"/>
      </c:barChart>
      <c:catAx>
        <c:axId val="698407487"/>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698442431"/>
        <c:crosses val="autoZero"/>
        <c:auto val="1"/>
        <c:lblAlgn val="ctr"/>
        <c:lblOffset val="100"/>
        <c:noMultiLvlLbl val="0"/>
      </c:catAx>
      <c:valAx>
        <c:axId val="698442431"/>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698407487"/>
        <c:crosses val="autoZero"/>
        <c:crossBetween val="between"/>
      </c:valAx>
      <c:spPr>
        <a:noFill/>
        <a:ln>
          <a:noFill/>
        </a:ln>
        <a:effectLst/>
      </c:spPr>
    </c:plotArea>
    <c:legend>
      <c:legendPos val="b"/>
      <c:layout>
        <c:manualLayout>
          <c:xMode val="edge"/>
          <c:yMode val="edge"/>
          <c:x val="0.35570447320745918"/>
          <c:y val="0.91672957816446143"/>
          <c:w val="0.29902907873537982"/>
          <c:h val="5.0955083637223432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11</xdr:col>
      <xdr:colOff>45358</xdr:colOff>
      <xdr:row>108</xdr:row>
      <xdr:rowOff>7256</xdr:rowOff>
    </xdr:from>
    <xdr:to>
      <xdr:col>16</xdr:col>
      <xdr:colOff>1614714</xdr:colOff>
      <xdr:row>131</xdr:row>
      <xdr:rowOff>-1</xdr:rowOff>
    </xdr:to>
    <xdr:graphicFrame macro="">
      <xdr:nvGraphicFramePr>
        <xdr:cNvPr id="2" name="Chart 1">
          <a:extLst>
            <a:ext uri="{FF2B5EF4-FFF2-40B4-BE49-F238E27FC236}">
              <a16:creationId xmlns:a16="http://schemas.microsoft.com/office/drawing/2014/main" id="{7A5EF9A1-E19F-C83B-4CF6-4A0D8EC1FC2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7">
  <rv s="0">
    <v>http://commons.wikimedia.org/wiki/File:MongoDB_Logo.svg</v>
    <v>&lt;a rel="nofollow" class="external text" href="https://www.mongodb.com/legal/trademark-usage-guidelines"&gt;MongoDB, Inc.&lt;/a&gt;</v>
  </rv>
  <rv s="0">
    <v>http://en.wikipedia.org/wiki/MongoDB_Inc.</v>
    <v>Wikipedia</v>
  </rv>
  <rv s="1">
    <v>0</v>
    <v>1</v>
  </rv>
  <rv s="2">
    <v>6</v>
    <v>https://www.bing.com/th?id=AMMS_e1db2e3234bc1bb199e8aee07d2a0340&amp;qlt=95</v>
    <v>2</v>
    <v>0</v>
    <v>https://www.bing.com/images/search?form=xlimg&amp;q=10gen</v>
    <v>Image of MONGODB, INC.</v>
  </rv>
  <rv s="0">
    <v>https://www.bing.com/financeapi/forcetrigger?t=a1xf1h&amp;q=XNAS%3aMDB&amp;form=skydnc</v>
    <v>Learn more on Bing</v>
  </rv>
  <rv s="3">
    <v>0</v>
    <v>MONGODB, INC. (XNAS:MDB)</v>
    <v>3</v>
    <v>4</v>
    <v>Finance</v>
    <v>5</v>
    <v>en-US</v>
    <v>a1xf1h</v>
    <v>268435456</v>
    <v>1</v>
    <v>Powered by Refinitiv</v>
    <v>398.89</v>
    <v>135.15</v>
    <v>1.0888</v>
    <v>15.4</v>
    <v>4.1291000000000001E-2</v>
    <v>USD</v>
    <v>MongoDB, Inc. is a developer data platform company. Its developer data platform is an integrated set of databases and related services that allow development teams to address the growing variety of modern application requirements. Its core offerings are MongoDB Atlas and MongoDB Enterprise Advanced. MongoDB Atlas is its managed multi-cloud database-as-a-service offering that includes an integrated set of database and related services. MongoDB Atlas provides customers with a managed offering that includes automated provisioning and healing, comprehensive system monitoring, managed backup and restore, default security and other features. MongoDB Enterprise Advanced is its self-managed commercial offering for enterprise customers that can run in the cloud, on-premises or in a hybrid environment. It provides professional services to its customers, including consulting and training. It has over 40,800 customers spanning a range of industries in more than 100 countries around the world.</v>
    <v>4619</v>
    <v>Nasdaq Stock Market</v>
    <v>XNAS</v>
    <v>XNAS</v>
    <v>1633 Broadway Fl 38, NEW YORK, NY, 10019-6763 US</v>
    <v>396.8399</v>
    <v>3</v>
    <v>Software &amp; IT Services</v>
    <v>Stock</v>
    <v>45099.999680717185</v>
    <v>4</v>
    <v>365.11</v>
    <v>27410984736</v>
    <v>MONGODB, INC.</v>
    <v>MONGODB, INC.</v>
    <v>366.66</v>
    <v>372.96</v>
    <v>388.36</v>
    <v>70581380</v>
    <v>MDB</v>
    <v>MONGODB, INC. (XNAS:MDB)</v>
    <v>5562</v>
    <v>2240394</v>
    <v>2007</v>
  </rv>
  <rv s="4">
    <v>5</v>
  </rv>
</rvData>
</file>

<file path=xl/richData/rdrichvaluestructure.xml><?xml version="1.0" encoding="utf-8"?>
<rvStructures xmlns="http://schemas.microsoft.com/office/spreadsheetml/2017/richdata" count="5">
  <s t="_hyperlink">
    <k n="Address" t="s"/>
    <k n="Text" t="s"/>
  </s>
  <s t="_sourceattribution">
    <k n="License" t="r"/>
    <k n="Source" t="r"/>
  </s>
  <s t="_imageurl">
    <k n="_Provider" t="spb"/>
    <k n="Address" t="s"/>
    <k n="Attribution" t="r"/>
    <k n="ComputedImage" t="b"/>
    <k n="More Images 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Image</v>
      <v t="s">ExchangeID</v>
      <v t="s">%ProviderInfo</v>
    </a>
  </spbArrays>
  <spbData count="7">
    <spb s="0">
      <v>0</v>
      <v>Name</v>
      <v>LearnMoreOnLink</v>
    </spb>
    <spb s="1">
      <v>0</v>
      <v>0</v>
    </spb>
    <spb s="2">
      <v>0</v>
      <v>0</v>
      <v>0</v>
    </spb>
    <spb s="3">
      <v>1</v>
      <v>2</v>
      <v>2</v>
      <v>2</v>
      <v>2</v>
    </spb>
    <spb s="4">
      <v>1</v>
      <v>2</v>
      <v>1</v>
      <v>3</v>
      <v>1</v>
      <v>4</v>
      <v>1</v>
      <v>1</v>
      <v>5</v>
      <v>5</v>
      <v>6</v>
      <v>7</v>
      <v>1</v>
      <v>1</v>
      <v>1</v>
      <v>5</v>
      <v>8</v>
      <v>9</v>
      <v>10</v>
      <v>5</v>
    </spb>
    <spb s="5">
      <v>Real-Time Nasdaq Last Sale</v>
      <v>from previous close</v>
      <v>from previous close</v>
      <v>Source: Nasdaq Last Sale</v>
      <v>GMT</v>
    </spb>
    <spb s="6">
      <v>Powered by Refinitiv</v>
    </spb>
  </spbData>
</supportingPropertyBags>
</file>

<file path=xl/richData/rdsupportingpropertybagstructure.xml><?xml version="1.0" encoding="utf-8"?>
<spbStructures xmlns="http://schemas.microsoft.com/office/spreadsheetml/2017/richdata2" count="7">
  <s>
    <k n="^Order" t="spba"/>
    <k n="TitleProperty" t="s"/>
    <k n="SubTitleProperty" t="s"/>
  </s>
  <s>
    <k n="ShowInDotNotation" t="b"/>
    <k n="ShowInAutoComplete" t="b"/>
  </s>
  <s>
    <k n="ShowInCardView" t="b"/>
    <k n="ShowInDotNotation" t="b"/>
    <k n="ShowInAutoComplete" t="b"/>
  </s>
  <s>
    <k n="Image" t="spb"/>
    <k n="ExchangeID" t="spb"/>
    <k n="UniqueName" t="spb"/>
    <k n="`%ProviderInfo" t="spb"/>
    <k n="LearnMoreOnLink" t="spb"/>
  </s>
  <s>
    <k n="Low"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na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Pr n="IsHeroField" t="b"/>
  </richProperties>
  <richStyles>
    <rSty dxfid="1">
      <rpv i="0">_([$$-en-US]* #,##0.00_);_([$$-en-US]* (#,##0.00);_([$$-en-US]* "-"??_);_(@_)</rpv>
    </rSty>
    <rSty dxfid="5">
      <rpv i="0">#,##0.00</rpv>
    </rSty>
    <rSty>
      <rpv i="1">1</rpv>
    </rSty>
    <rSty>
      <rpv i="2">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c.gov/Archives/edgar/data/1441816/000144181619000067/0001441816-19-000067-index.html" TargetMode="External"/><Relationship Id="rId13" Type="http://schemas.openxmlformats.org/officeDocument/2006/relationships/hyperlink" Target="https://www.sec.gov/Archives/edgar/data/1441816/000144181621000051/0001441816-21-000051-index.htm" TargetMode="External"/><Relationship Id="rId18" Type="http://schemas.openxmlformats.org/officeDocument/2006/relationships/drawing" Target="../drawings/drawing1.xml"/><Relationship Id="rId3" Type="http://schemas.openxmlformats.org/officeDocument/2006/relationships/hyperlink" Target="https://sec.gov/" TargetMode="External"/><Relationship Id="rId7" Type="http://schemas.openxmlformats.org/officeDocument/2006/relationships/hyperlink" Target="https://www.sec.gov/Archives/edgar/data/1441816/000144181618000028/0001441816-18-000028-index.html" TargetMode="External"/><Relationship Id="rId12" Type="http://schemas.openxmlformats.org/officeDocument/2006/relationships/hyperlink" Target="https://www.sec.gov/Archives/edgar/data/1441816/000144181621000051/0001441816-21-000051-index.htm" TargetMode="External"/><Relationship Id="rId17" Type="http://schemas.openxmlformats.org/officeDocument/2006/relationships/hyperlink" Target="https://finbox.com/NASDAQGM:MDB/explorer/revenue_proj"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441816/000144181623000023/mdb-013123xex991xrelease.htm" TargetMode="External"/><Relationship Id="rId1" Type="http://schemas.openxmlformats.org/officeDocument/2006/relationships/hyperlink" Target="https://roic.ai/company/MDB" TargetMode="External"/><Relationship Id="rId6" Type="http://schemas.openxmlformats.org/officeDocument/2006/relationships/hyperlink" Target="https://www.sec.gov/Archives/edgar/data/1441816/000144181618000028/0001441816-18-000028-index.html" TargetMode="External"/><Relationship Id="rId11" Type="http://schemas.openxmlformats.org/officeDocument/2006/relationships/hyperlink" Target="https://www.sec.gov/Archives/edgar/data/1441816/000144181620000067/0001441816-20-000067-index.html" TargetMode="External"/><Relationship Id="rId5" Type="http://schemas.openxmlformats.org/officeDocument/2006/relationships/hyperlink" Target="https://sec.gov/" TargetMode="External"/><Relationship Id="rId15" Type="http://schemas.openxmlformats.org/officeDocument/2006/relationships/hyperlink" Target="https://www.sec.gov/Archives/edgar/data/1441816/000144181622000059/0001441816-22-000059-index.htm" TargetMode="External"/><Relationship Id="rId10" Type="http://schemas.openxmlformats.org/officeDocument/2006/relationships/hyperlink" Target="https://www.sec.gov/Archives/edgar/data/1441816/000144181620000067/0001441816-20-000067-index.html" TargetMode="External"/><Relationship Id="rId4" Type="http://schemas.openxmlformats.org/officeDocument/2006/relationships/hyperlink" Target="https://sec.gov/" TargetMode="External"/><Relationship Id="rId9" Type="http://schemas.openxmlformats.org/officeDocument/2006/relationships/hyperlink" Target="https://www.sec.gov/Archives/edgar/data/1441816/000144181619000067/0001441816-19-000067-index.html" TargetMode="External"/><Relationship Id="rId14" Type="http://schemas.openxmlformats.org/officeDocument/2006/relationships/hyperlink" Target="https://www.sec.gov/Archives/edgar/data/1441816/000144181622000059/0001441816-22-000059-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8"/>
  <sheetViews>
    <sheetView tabSelected="1" zoomScale="80" zoomScaleNormal="80" workbookViewId="0">
      <pane xSplit="1" ySplit="1" topLeftCell="F105" activePane="bottomRight" state="frozen"/>
      <selection pane="topRight"/>
      <selection pane="bottomLeft"/>
      <selection pane="bottomRight" activeCell="J127" sqref="J127"/>
    </sheetView>
  </sheetViews>
  <sheetFormatPr baseColWidth="10" defaultRowHeight="16"/>
  <cols>
    <col min="1" max="1" width="50" customWidth="1"/>
    <col min="2" max="9" width="15" customWidth="1"/>
    <col min="10" max="17" width="21.5" customWidth="1"/>
    <col min="18" max="18" width="21" customWidth="1"/>
  </cols>
  <sheetData>
    <row r="1" spans="1:38" ht="22" thickBot="1">
      <c r="A1" s="3" t="e" vm="1">
        <v>#VALUE!</v>
      </c>
      <c r="B1" s="8">
        <v>2016</v>
      </c>
      <c r="C1" s="8">
        <v>2017</v>
      </c>
      <c r="D1" s="8">
        <v>2018</v>
      </c>
      <c r="E1" s="8">
        <v>2019</v>
      </c>
      <c r="F1" s="8">
        <v>2020</v>
      </c>
      <c r="G1" s="8">
        <v>2021</v>
      </c>
      <c r="H1" s="8">
        <v>2022</v>
      </c>
      <c r="I1" s="8">
        <v>2023</v>
      </c>
      <c r="J1" s="25">
        <v>2024</v>
      </c>
      <c r="K1" s="25">
        <v>2025</v>
      </c>
      <c r="L1" s="25">
        <v>2026</v>
      </c>
      <c r="M1" s="25">
        <v>2027</v>
      </c>
      <c r="N1" s="25">
        <v>2028</v>
      </c>
    </row>
    <row r="2" spans="1:38" ht="21">
      <c r="A2" s="4" t="s">
        <v>0</v>
      </c>
      <c r="B2" s="9" t="s">
        <v>91</v>
      </c>
      <c r="C2" s="9" t="s">
        <v>91</v>
      </c>
      <c r="D2" s="9" t="s">
        <v>91</v>
      </c>
      <c r="E2" s="9" t="s">
        <v>91</v>
      </c>
      <c r="F2" s="9" t="s">
        <v>91</v>
      </c>
      <c r="G2" s="9" t="s">
        <v>91</v>
      </c>
      <c r="H2" s="9" t="s">
        <v>91</v>
      </c>
      <c r="I2" s="9" t="s">
        <v>91</v>
      </c>
      <c r="J2" s="9" t="s">
        <v>91</v>
      </c>
      <c r="K2" s="9" t="s">
        <v>91</v>
      </c>
      <c r="L2" s="9"/>
      <c r="M2" s="9"/>
      <c r="N2" s="9"/>
      <c r="O2" s="9"/>
      <c r="P2" s="9"/>
      <c r="Q2" s="9"/>
      <c r="R2" s="9"/>
    </row>
    <row r="3" spans="1:38" ht="40">
      <c r="A3" s="5" t="s">
        <v>1</v>
      </c>
      <c r="B3" s="1">
        <v>65271000</v>
      </c>
      <c r="C3" s="1">
        <v>101358000</v>
      </c>
      <c r="D3" s="1">
        <v>154519000</v>
      </c>
      <c r="E3" s="1">
        <v>267016000</v>
      </c>
      <c r="F3" s="1">
        <v>421720000</v>
      </c>
      <c r="G3" s="1">
        <v>590380000</v>
      </c>
      <c r="H3" s="1">
        <v>873782000</v>
      </c>
      <c r="I3" s="1">
        <v>1284000000</v>
      </c>
      <c r="J3" s="26">
        <v>1538000000</v>
      </c>
      <c r="K3" s="26">
        <v>1847000000</v>
      </c>
      <c r="L3" s="26">
        <v>2274000000</v>
      </c>
      <c r="M3" s="26">
        <v>2774000000</v>
      </c>
      <c r="N3" s="26">
        <v>3496000000</v>
      </c>
      <c r="O3" s="20" t="s">
        <v>109</v>
      </c>
      <c r="P3" s="21" t="s">
        <v>110</v>
      </c>
      <c r="Q3" s="21" t="s">
        <v>111</v>
      </c>
      <c r="R3" s="21" t="s">
        <v>112</v>
      </c>
    </row>
    <row r="4" spans="1:38" ht="19">
      <c r="A4" s="14" t="s">
        <v>94</v>
      </c>
      <c r="B4" s="1"/>
      <c r="C4" s="15">
        <f>(C3/B3)-1</f>
        <v>0.55287953302385429</v>
      </c>
      <c r="D4" s="15">
        <f>(D3/C3)-1</f>
        <v>0.52448746028927173</v>
      </c>
      <c r="E4" s="15">
        <f>(E3/D3)-1</f>
        <v>0.72804638911719599</v>
      </c>
      <c r="F4" s="15">
        <f t="shared" ref="F4:N4" si="0">(F3/E3)-1</f>
        <v>0.57938101087575267</v>
      </c>
      <c r="G4" s="15">
        <f t="shared" si="0"/>
        <v>0.39993360523570143</v>
      </c>
      <c r="H4" s="16">
        <f t="shared" si="0"/>
        <v>0.48003319895660423</v>
      </c>
      <c r="I4" s="16">
        <f t="shared" si="0"/>
        <v>0.46947407934702245</v>
      </c>
      <c r="J4" s="16">
        <f t="shared" si="0"/>
        <v>0.19781931464174463</v>
      </c>
      <c r="K4" s="16">
        <f t="shared" si="0"/>
        <v>0.20091027308192455</v>
      </c>
      <c r="L4" s="16">
        <f t="shared" si="0"/>
        <v>0.23118570655116399</v>
      </c>
      <c r="M4" s="16">
        <f t="shared" si="0"/>
        <v>0.2198768689533861</v>
      </c>
      <c r="N4" s="16">
        <f t="shared" si="0"/>
        <v>0.26027397260273966</v>
      </c>
      <c r="O4" s="17">
        <f>(I4+H4+G4)/3</f>
        <v>0.44981362784644269</v>
      </c>
      <c r="P4" s="17">
        <f>(I20+H20+G20)/3</f>
        <v>-8.910322427350148E-2</v>
      </c>
      <c r="Q4" s="17">
        <f>(I29+H29+G29)/3</f>
        <v>0.26532531940550536</v>
      </c>
      <c r="R4" s="17">
        <f>(I105+H105+G105)/3</f>
        <v>5.7252470286254047</v>
      </c>
      <c r="AA4" s="16"/>
      <c r="AB4" s="16"/>
      <c r="AC4" s="16"/>
      <c r="AD4" s="16"/>
      <c r="AE4" s="16"/>
      <c r="AF4" s="16"/>
      <c r="AI4" s="19"/>
      <c r="AJ4" s="19"/>
      <c r="AK4" s="19"/>
      <c r="AL4" s="19"/>
    </row>
    <row r="5" spans="1:38" ht="19">
      <c r="A5" s="5" t="s">
        <v>2</v>
      </c>
      <c r="B5" s="1">
        <v>20861000</v>
      </c>
      <c r="C5" s="1">
        <v>29867000</v>
      </c>
      <c r="D5" s="1">
        <v>42859000</v>
      </c>
      <c r="E5" s="1">
        <v>73568000</v>
      </c>
      <c r="F5" s="1">
        <v>125356000</v>
      </c>
      <c r="G5" s="1">
        <v>177076000</v>
      </c>
      <c r="H5" s="1">
        <v>259492000</v>
      </c>
      <c r="I5" s="1">
        <f>I3-I6</f>
        <v>349300000</v>
      </c>
    </row>
    <row r="6" spans="1:38" ht="20" customHeight="1">
      <c r="A6" s="6" t="s">
        <v>3</v>
      </c>
      <c r="B6" s="10">
        <v>44410000</v>
      </c>
      <c r="C6" s="10">
        <v>71491000</v>
      </c>
      <c r="D6" s="10">
        <v>111660000</v>
      </c>
      <c r="E6" s="10">
        <v>193448000</v>
      </c>
      <c r="F6" s="10">
        <v>296364000</v>
      </c>
      <c r="G6" s="10">
        <v>413304000</v>
      </c>
      <c r="H6" s="10">
        <v>614290000</v>
      </c>
      <c r="I6" s="10">
        <v>934700000</v>
      </c>
      <c r="O6" s="20" t="s">
        <v>113</v>
      </c>
      <c r="P6" s="21" t="s">
        <v>114</v>
      </c>
      <c r="Q6" s="21" t="s">
        <v>115</v>
      </c>
      <c r="R6" s="21" t="s">
        <v>116</v>
      </c>
    </row>
    <row r="7" spans="1:38" ht="19">
      <c r="A7" s="5" t="s">
        <v>4</v>
      </c>
      <c r="B7" s="2">
        <v>0.6804</v>
      </c>
      <c r="C7" s="2">
        <v>0.70530000000000004</v>
      </c>
      <c r="D7" s="2">
        <v>0.72260000000000002</v>
      </c>
      <c r="E7" s="2">
        <v>0.72450000000000003</v>
      </c>
      <c r="F7" s="2">
        <v>0.70279999999999998</v>
      </c>
      <c r="G7" s="2">
        <v>0.70009999999999994</v>
      </c>
      <c r="H7" s="2">
        <v>0.70299999999999996</v>
      </c>
      <c r="I7" s="2">
        <f>I6/I3</f>
        <v>0.72795950155763245</v>
      </c>
      <c r="O7" s="17">
        <f>I7</f>
        <v>0.72795950155763245</v>
      </c>
      <c r="P7" s="18">
        <f>I21</f>
        <v>3.9648753894080999E-2</v>
      </c>
      <c r="Q7" s="18">
        <f>I30</f>
        <v>-0.35120000000000001</v>
      </c>
      <c r="R7" s="18">
        <f>I106/I3</f>
        <v>-1.5742990654205608E-2</v>
      </c>
    </row>
    <row r="8" spans="1:38" ht="19">
      <c r="A8" s="5" t="s">
        <v>5</v>
      </c>
      <c r="B8" s="1">
        <v>43465000</v>
      </c>
      <c r="C8" s="1">
        <v>51772000</v>
      </c>
      <c r="D8" s="1">
        <v>62202000</v>
      </c>
      <c r="E8" s="1">
        <v>89854000</v>
      </c>
      <c r="F8" s="1">
        <v>149033000</v>
      </c>
      <c r="G8" s="1">
        <v>205161000</v>
      </c>
      <c r="H8" s="1">
        <v>308820000</v>
      </c>
      <c r="I8" s="1">
        <v>421692000</v>
      </c>
      <c r="J8" s="28"/>
    </row>
    <row r="9" spans="1:38" ht="19" customHeight="1">
      <c r="A9" s="14" t="s">
        <v>95</v>
      </c>
      <c r="B9" s="15">
        <f>B8/B3</f>
        <v>0.6659159504220864</v>
      </c>
      <c r="C9" s="15">
        <f t="shared" ref="C9:I9" si="1">C8/C3</f>
        <v>0.51078355926517882</v>
      </c>
      <c r="D9" s="15">
        <f t="shared" si="1"/>
        <v>0.40255243691714288</v>
      </c>
      <c r="E9" s="15">
        <f t="shared" si="1"/>
        <v>0.33651166971267638</v>
      </c>
      <c r="F9" s="15">
        <f t="shared" si="1"/>
        <v>0.35339324670397421</v>
      </c>
      <c r="G9" s="15">
        <f t="shared" si="1"/>
        <v>0.34750669060605033</v>
      </c>
      <c r="H9" s="15">
        <f t="shared" si="1"/>
        <v>0.353429116186875</v>
      </c>
      <c r="I9" s="15">
        <f t="shared" si="1"/>
        <v>0.32842056074766357</v>
      </c>
      <c r="O9" s="20" t="s">
        <v>96</v>
      </c>
      <c r="P9" s="21" t="s">
        <v>97</v>
      </c>
      <c r="Q9" s="21" t="s">
        <v>98</v>
      </c>
      <c r="R9" s="21" t="s">
        <v>99</v>
      </c>
    </row>
    <row r="10" spans="1:38" ht="19">
      <c r="A10" s="5" t="s">
        <v>6</v>
      </c>
      <c r="B10" s="1">
        <v>17070000</v>
      </c>
      <c r="C10" s="1">
        <v>27082000</v>
      </c>
      <c r="D10" s="1">
        <v>36775000</v>
      </c>
      <c r="E10" s="1">
        <v>53063000</v>
      </c>
      <c r="F10" s="1">
        <v>71304000</v>
      </c>
      <c r="G10" s="1">
        <v>92347000</v>
      </c>
      <c r="H10" s="1">
        <v>122944000</v>
      </c>
      <c r="I10" s="1">
        <v>160498000</v>
      </c>
      <c r="O10" s="17">
        <f>I9</f>
        <v>0.32842056074766357</v>
      </c>
      <c r="P10" s="18">
        <f>I13</f>
        <v>0.66954750778816197</v>
      </c>
      <c r="Q10" s="18">
        <f>I80</f>
        <v>0.29708255451713395</v>
      </c>
      <c r="R10" s="18">
        <f>I89</f>
        <v>5.6417445482866042E-3</v>
      </c>
    </row>
    <row r="11" spans="1:38" ht="19">
      <c r="A11" s="5" t="s">
        <v>7</v>
      </c>
      <c r="B11" s="1">
        <v>56613000</v>
      </c>
      <c r="C11" s="1">
        <v>78584000</v>
      </c>
      <c r="D11" s="1">
        <v>109950000</v>
      </c>
      <c r="E11" s="1">
        <v>148296000</v>
      </c>
      <c r="F11" s="1">
        <v>223893000</v>
      </c>
      <c r="G11" s="1">
        <v>325100000</v>
      </c>
      <c r="H11" s="1">
        <v>471890000</v>
      </c>
      <c r="I11" s="1">
        <v>699201000</v>
      </c>
    </row>
    <row r="12" spans="1:38" ht="20" customHeight="1">
      <c r="A12" s="5" t="s">
        <v>8</v>
      </c>
      <c r="B12" s="1">
        <v>73683000</v>
      </c>
      <c r="C12" s="1">
        <v>105666000</v>
      </c>
      <c r="D12" s="1">
        <v>146725000</v>
      </c>
      <c r="E12" s="1">
        <v>201359000</v>
      </c>
      <c r="F12" s="1">
        <v>295197000</v>
      </c>
      <c r="G12" s="1">
        <v>417447000</v>
      </c>
      <c r="H12" s="1">
        <v>594834000</v>
      </c>
      <c r="I12" s="1">
        <f>I10+I11</f>
        <v>859699000</v>
      </c>
      <c r="O12" s="20" t="s">
        <v>117</v>
      </c>
      <c r="P12" s="21" t="s">
        <v>118</v>
      </c>
      <c r="Q12" s="21" t="s">
        <v>119</v>
      </c>
      <c r="R12" s="21" t="s">
        <v>120</v>
      </c>
    </row>
    <row r="13" spans="1:38" ht="19">
      <c r="A13" s="14" t="s">
        <v>100</v>
      </c>
      <c r="B13" s="15">
        <f>B12/B3</f>
        <v>1.1288780622328447</v>
      </c>
      <c r="C13" s="15">
        <f t="shared" ref="C13:H13" si="2">C12/C3</f>
        <v>1.0425028118155448</v>
      </c>
      <c r="D13" s="15">
        <f t="shared" si="2"/>
        <v>0.9495596010846562</v>
      </c>
      <c r="E13" s="15">
        <f t="shared" si="2"/>
        <v>0.7541083680378704</v>
      </c>
      <c r="F13" s="15">
        <f t="shared" si="2"/>
        <v>0.69998340130892533</v>
      </c>
      <c r="G13" s="15">
        <f t="shared" si="2"/>
        <v>0.70708187946746159</v>
      </c>
      <c r="H13" s="15">
        <f t="shared" si="2"/>
        <v>0.68075790071207698</v>
      </c>
      <c r="I13" s="15">
        <f t="shared" ref="I13" si="3">I12/I3</f>
        <v>0.66954750778816197</v>
      </c>
      <c r="O13" s="17">
        <f>I28/I72</f>
        <v>-0.46706458888882879</v>
      </c>
      <c r="P13" s="18">
        <f>I28/I54</f>
        <v>-0.12968179717334097</v>
      </c>
      <c r="Q13" s="18">
        <f>I22/(I72+I56+I61)</f>
        <v>-0.17721860019518559</v>
      </c>
      <c r="R13" s="62">
        <f>I67/I72</f>
        <v>2.5008316340053116</v>
      </c>
    </row>
    <row r="14" spans="1:38" ht="19">
      <c r="A14" s="5" t="s">
        <v>9</v>
      </c>
      <c r="B14" s="1" t="s">
        <v>92</v>
      </c>
      <c r="C14" s="1" t="s">
        <v>92</v>
      </c>
      <c r="D14" s="1" t="s">
        <v>92</v>
      </c>
      <c r="E14" s="1" t="s">
        <v>92</v>
      </c>
      <c r="F14" s="1" t="s">
        <v>92</v>
      </c>
      <c r="G14" s="1" t="s">
        <v>92</v>
      </c>
      <c r="H14" s="1" t="s">
        <v>92</v>
      </c>
      <c r="I14" s="1" t="s">
        <v>92</v>
      </c>
    </row>
    <row r="15" spans="1:38" ht="20" customHeight="1">
      <c r="A15" s="5" t="s">
        <v>10</v>
      </c>
      <c r="B15" s="1">
        <v>117148000</v>
      </c>
      <c r="C15" s="1">
        <v>157438000</v>
      </c>
      <c r="D15" s="1">
        <v>208927000</v>
      </c>
      <c r="E15" s="1">
        <v>291213000</v>
      </c>
      <c r="F15" s="1">
        <v>444230000</v>
      </c>
      <c r="G15" s="1">
        <v>622608000</v>
      </c>
      <c r="H15" s="1">
        <v>903654000</v>
      </c>
      <c r="I15" s="1">
        <v>1281391000</v>
      </c>
      <c r="O15" s="20" t="s">
        <v>121</v>
      </c>
      <c r="P15" s="21" t="s">
        <v>122</v>
      </c>
      <c r="Q15" s="21" t="s">
        <v>123</v>
      </c>
      <c r="R15" s="21" t="s">
        <v>124</v>
      </c>
    </row>
    <row r="16" spans="1:38" ht="19">
      <c r="A16" s="5" t="s">
        <v>11</v>
      </c>
      <c r="B16" s="1">
        <v>138009000</v>
      </c>
      <c r="C16" s="1">
        <v>187305000</v>
      </c>
      <c r="D16" s="1">
        <v>251786000</v>
      </c>
      <c r="E16" s="1">
        <v>364781000</v>
      </c>
      <c r="F16" s="1">
        <v>569586000</v>
      </c>
      <c r="G16" s="1">
        <v>799684000</v>
      </c>
      <c r="H16" s="1">
        <v>1163146000</v>
      </c>
      <c r="I16" s="1">
        <f>I15+I5</f>
        <v>1630691000</v>
      </c>
      <c r="O16" s="27">
        <f>(I35+H35+G35+F35+E35)/5</f>
        <v>0.29651737992603422</v>
      </c>
      <c r="P16" s="60">
        <f>Q101/I3</f>
        <v>21.34811895327103</v>
      </c>
      <c r="Q16" s="60">
        <f>Q101/I28</f>
        <v>-79.360577467153831</v>
      </c>
      <c r="R16" s="61">
        <f>Q101/I106</f>
        <v>-1356.0396129415258</v>
      </c>
    </row>
    <row r="17" spans="1:18" ht="19">
      <c r="A17" s="5" t="s">
        <v>12</v>
      </c>
      <c r="B17" s="1">
        <v>24000</v>
      </c>
      <c r="C17" s="1">
        <v>9000</v>
      </c>
      <c r="D17" s="1">
        <v>8000</v>
      </c>
      <c r="E17" s="1">
        <v>10290000</v>
      </c>
      <c r="F17" s="1">
        <v>20983000</v>
      </c>
      <c r="G17" s="1">
        <v>56107000</v>
      </c>
      <c r="H17" s="1">
        <v>0</v>
      </c>
      <c r="I17" s="1">
        <v>0</v>
      </c>
    </row>
    <row r="18" spans="1:18" ht="20">
      <c r="A18" s="5" t="s">
        <v>13</v>
      </c>
      <c r="B18" s="1">
        <v>4062000</v>
      </c>
      <c r="C18" s="1">
        <v>3751000</v>
      </c>
      <c r="D18" s="1">
        <v>3703000</v>
      </c>
      <c r="E18" s="1">
        <v>5792000</v>
      </c>
      <c r="F18" s="1">
        <v>19774000</v>
      </c>
      <c r="G18" s="1">
        <v>24532000</v>
      </c>
      <c r="H18" s="1">
        <v>17645000</v>
      </c>
      <c r="I18" s="1">
        <v>16110000</v>
      </c>
      <c r="O18" s="20" t="s">
        <v>125</v>
      </c>
      <c r="P18" s="21" t="s">
        <v>160</v>
      </c>
      <c r="Q18" s="21" t="s">
        <v>161</v>
      </c>
      <c r="R18" s="21" t="s">
        <v>162</v>
      </c>
    </row>
    <row r="19" spans="1:18" ht="19">
      <c r="A19" s="6" t="s">
        <v>14</v>
      </c>
      <c r="B19" s="10">
        <v>-68958000</v>
      </c>
      <c r="C19" s="10">
        <v>-82202000</v>
      </c>
      <c r="D19" s="10">
        <v>-91361000</v>
      </c>
      <c r="E19" s="10">
        <v>-86247000</v>
      </c>
      <c r="F19" s="10">
        <v>-135421000</v>
      </c>
      <c r="G19" s="10">
        <v>-182054000</v>
      </c>
      <c r="H19" s="10">
        <v>-285244000</v>
      </c>
      <c r="I19" s="10">
        <v>50909000</v>
      </c>
      <c r="J19" s="66">
        <v>135700000</v>
      </c>
      <c r="K19" s="66">
        <v>182600000</v>
      </c>
      <c r="L19" s="66">
        <v>273800000</v>
      </c>
      <c r="M19" s="66">
        <v>435000000</v>
      </c>
      <c r="N19" s="66">
        <v>612000000</v>
      </c>
      <c r="O19" s="29">
        <f>I40-I56-I61</f>
        <v>620051000</v>
      </c>
      <c r="P19" s="63">
        <f>Q101/J3</f>
        <v>17.822486824447335</v>
      </c>
      <c r="Q19" s="60">
        <f>Q101/J28</f>
        <v>217.20273166402535</v>
      </c>
      <c r="R19" s="61">
        <f>Q101/J105</f>
        <v>182.73989824</v>
      </c>
    </row>
    <row r="20" spans="1:18" ht="19" customHeight="1">
      <c r="A20" s="14" t="s">
        <v>101</v>
      </c>
      <c r="B20" s="1"/>
      <c r="C20" s="15">
        <f>(C19/B19)-1</f>
        <v>0.19205893442385213</v>
      </c>
      <c r="D20" s="15">
        <f>(D19/C19)-1</f>
        <v>0.11142064669959373</v>
      </c>
      <c r="E20" s="15">
        <f>(E19/D19)-1</f>
        <v>-5.5975744573724007E-2</v>
      </c>
      <c r="F20" s="15">
        <f t="shared" ref="F20:I20" si="4">(F19/E19)-1</f>
        <v>0.57015316474775934</v>
      </c>
      <c r="G20" s="15">
        <f t="shared" si="4"/>
        <v>0.3443557498467742</v>
      </c>
      <c r="H20" s="15">
        <f t="shared" si="4"/>
        <v>0.56680984762762687</v>
      </c>
      <c r="I20" s="15">
        <f t="shared" si="4"/>
        <v>-1.1784752702949055</v>
      </c>
      <c r="J20" s="16">
        <f t="shared" ref="J20" si="5">(J19/I19)-1</f>
        <v>1.665540474179418</v>
      </c>
      <c r="K20" s="16">
        <f t="shared" ref="K20" si="6">(K19/J19)-1</f>
        <v>0.34561532792925576</v>
      </c>
      <c r="L20" s="16">
        <f t="shared" ref="L20" si="7">(L19/K19)-1</f>
        <v>0.49945235487404172</v>
      </c>
      <c r="M20" s="16">
        <f t="shared" ref="M20" si="8">(M19/L19)-1</f>
        <v>0.5887509130752373</v>
      </c>
      <c r="N20" s="16">
        <f t="shared" ref="N20" si="9">(N19/M19)-1</f>
        <v>0.40689655172413786</v>
      </c>
    </row>
    <row r="21" spans="1:18" ht="19">
      <c r="A21" s="5" t="s">
        <v>15</v>
      </c>
      <c r="B21" s="2">
        <v>-1.0565</v>
      </c>
      <c r="C21" s="2">
        <v>-0.81100000000000005</v>
      </c>
      <c r="D21" s="2">
        <v>-0.59130000000000005</v>
      </c>
      <c r="E21" s="2">
        <v>-0.32300000000000001</v>
      </c>
      <c r="F21" s="2">
        <v>-0.3211</v>
      </c>
      <c r="G21" s="2">
        <v>-0.30840000000000001</v>
      </c>
      <c r="H21" s="2">
        <v>-0.32640000000000002</v>
      </c>
      <c r="I21" s="65">
        <f>I19/I3</f>
        <v>3.9648753894080999E-2</v>
      </c>
      <c r="J21" s="67">
        <f t="shared" ref="J21:N21" si="10">J19/J3</f>
        <v>8.8231469440832253E-2</v>
      </c>
      <c r="K21" s="67">
        <f t="shared" si="10"/>
        <v>9.886302111532215E-2</v>
      </c>
      <c r="L21" s="67">
        <f t="shared" si="10"/>
        <v>0.12040457343887423</v>
      </c>
      <c r="M21" s="67">
        <f t="shared" si="10"/>
        <v>0.15681326604181686</v>
      </c>
      <c r="N21" s="67">
        <f t="shared" si="10"/>
        <v>0.17505720823798626</v>
      </c>
    </row>
    <row r="22" spans="1:18" ht="19">
      <c r="A22" s="6" t="s">
        <v>16</v>
      </c>
      <c r="B22" s="10">
        <v>-72738000</v>
      </c>
      <c r="C22" s="10">
        <v>-85947000</v>
      </c>
      <c r="D22" s="10">
        <v>-97267000</v>
      </c>
      <c r="E22" s="10">
        <v>-97765000</v>
      </c>
      <c r="F22" s="10">
        <v>-147866000</v>
      </c>
      <c r="G22" s="10">
        <v>-209304000</v>
      </c>
      <c r="H22" s="10">
        <v>-289364000</v>
      </c>
      <c r="I22" s="64">
        <v>-346655000</v>
      </c>
    </row>
    <row r="23" spans="1:18" ht="19">
      <c r="A23" s="5" t="s">
        <v>17</v>
      </c>
      <c r="B23" s="2">
        <v>-1.1144000000000001</v>
      </c>
      <c r="C23" s="2">
        <v>-0.84799999999999998</v>
      </c>
      <c r="D23" s="2">
        <v>-0.62949999999999995</v>
      </c>
      <c r="E23" s="2">
        <v>-0.36609999999999998</v>
      </c>
      <c r="F23" s="2">
        <v>-0.35060000000000002</v>
      </c>
      <c r="G23" s="2">
        <v>-0.35449999999999998</v>
      </c>
      <c r="H23" s="2">
        <v>-0.33119999999999999</v>
      </c>
      <c r="I23" s="2">
        <f>I22/I3</f>
        <v>-0.26998052959501556</v>
      </c>
    </row>
    <row r="24" spans="1:18" ht="19">
      <c r="A24" s="5" t="s">
        <v>18</v>
      </c>
      <c r="B24" s="1">
        <v>-306000</v>
      </c>
      <c r="C24" s="1">
        <v>-15000</v>
      </c>
      <c r="D24" s="1">
        <v>2195000</v>
      </c>
      <c r="E24" s="1">
        <v>-4564000</v>
      </c>
      <c r="F24" s="1">
        <v>-28312000</v>
      </c>
      <c r="G24" s="1">
        <v>-53389000</v>
      </c>
      <c r="H24" s="1">
        <v>-13525000</v>
      </c>
      <c r="I24" s="1">
        <v>13401000</v>
      </c>
    </row>
    <row r="25" spans="1:18" ht="19">
      <c r="A25" s="6" t="s">
        <v>19</v>
      </c>
      <c r="B25" s="10">
        <v>-73044000</v>
      </c>
      <c r="C25" s="10">
        <v>-85962000</v>
      </c>
      <c r="D25" s="10">
        <v>-95072000</v>
      </c>
      <c r="E25" s="10">
        <v>-102329000</v>
      </c>
      <c r="F25" s="10">
        <v>-176178000</v>
      </c>
      <c r="G25" s="10">
        <v>-262693000</v>
      </c>
      <c r="H25" s="10">
        <v>-302889000</v>
      </c>
      <c r="I25" s="10">
        <v>-333254000</v>
      </c>
    </row>
    <row r="26" spans="1:18" ht="19">
      <c r="A26" s="5" t="s">
        <v>20</v>
      </c>
      <c r="B26" s="2">
        <v>-1.1191</v>
      </c>
      <c r="C26" s="2">
        <v>-0.84809999999999997</v>
      </c>
      <c r="D26" s="2">
        <v>-0.61529999999999996</v>
      </c>
      <c r="E26" s="2">
        <v>-0.38319999999999999</v>
      </c>
      <c r="F26" s="2">
        <v>-0.4178</v>
      </c>
      <c r="G26" s="2">
        <v>-0.44500000000000001</v>
      </c>
      <c r="H26" s="2">
        <v>-0.34660000000000002</v>
      </c>
      <c r="I26" s="2">
        <v>-0.34660000000000002</v>
      </c>
    </row>
    <row r="27" spans="1:18" ht="19">
      <c r="A27" s="5" t="s">
        <v>21</v>
      </c>
      <c r="B27" s="1">
        <v>442000</v>
      </c>
      <c r="C27" s="1">
        <v>719000</v>
      </c>
      <c r="D27" s="1">
        <v>1287000</v>
      </c>
      <c r="E27" s="1">
        <v>-3318000</v>
      </c>
      <c r="F27" s="1">
        <v>-656000</v>
      </c>
      <c r="G27" s="1">
        <v>4251000</v>
      </c>
      <c r="H27" s="1">
        <v>3977000</v>
      </c>
      <c r="I27" s="1">
        <v>12144000</v>
      </c>
    </row>
    <row r="28" spans="1:18" ht="20" thickBot="1">
      <c r="A28" s="7" t="s">
        <v>22</v>
      </c>
      <c r="B28" s="11">
        <v>-73486000</v>
      </c>
      <c r="C28" s="11">
        <v>-86681000</v>
      </c>
      <c r="D28" s="11">
        <v>-96359000</v>
      </c>
      <c r="E28" s="11">
        <v>-99011000</v>
      </c>
      <c r="F28" s="11">
        <v>-175522000</v>
      </c>
      <c r="G28" s="11">
        <v>-266944000</v>
      </c>
      <c r="H28" s="11">
        <v>-306866000</v>
      </c>
      <c r="I28" s="11">
        <v>-345398000</v>
      </c>
      <c r="J28" s="68">
        <v>126200000</v>
      </c>
      <c r="K28" s="68">
        <v>171100000</v>
      </c>
      <c r="L28" s="68">
        <v>246000000</v>
      </c>
      <c r="M28" s="68">
        <v>579600000</v>
      </c>
      <c r="N28" s="68">
        <v>813000000</v>
      </c>
    </row>
    <row r="29" spans="1:18" ht="20" customHeight="1" thickTop="1">
      <c r="A29" s="14" t="s">
        <v>102</v>
      </c>
      <c r="B29" s="1"/>
      <c r="C29" s="15">
        <f>(C28/B28)-1</f>
        <v>0.17955801104972369</v>
      </c>
      <c r="D29" s="15">
        <f>(D28/C28)-1</f>
        <v>0.11165076545032937</v>
      </c>
      <c r="E29" s="15">
        <f>(E28/D28)-1</f>
        <v>2.7522078892475044E-2</v>
      </c>
      <c r="F29" s="15">
        <f t="shared" ref="F29:I29" si="11">(F28/E28)-1</f>
        <v>0.77275252244700088</v>
      </c>
      <c r="G29" s="15">
        <f t="shared" si="11"/>
        <v>0.52085778420938689</v>
      </c>
      <c r="H29" s="15">
        <f t="shared" si="11"/>
        <v>0.14955196595540632</v>
      </c>
      <c r="I29" s="15">
        <f t="shared" si="11"/>
        <v>0.12556620805172281</v>
      </c>
      <c r="J29" s="16">
        <f t="shared" ref="J29" si="12">(J28/I28)-1</f>
        <v>-1.3653755956896103</v>
      </c>
      <c r="K29" s="16">
        <f t="shared" ref="K29" si="13">(K28/J28)-1</f>
        <v>0.35578446909667205</v>
      </c>
      <c r="L29" s="16">
        <f t="shared" ref="L29" si="14">(L28/K28)-1</f>
        <v>0.43775569842197548</v>
      </c>
      <c r="M29" s="16">
        <f t="shared" ref="M29" si="15">(M28/L28)-1</f>
        <v>1.3560975609756096</v>
      </c>
      <c r="N29" s="16">
        <f t="shared" ref="N29" si="16">(N28/M28)-1</f>
        <v>0.40269151138716364</v>
      </c>
    </row>
    <row r="30" spans="1:18" ht="19">
      <c r="A30" s="5" t="s">
        <v>23</v>
      </c>
      <c r="B30" s="2">
        <v>-1.1258999999999999</v>
      </c>
      <c r="C30" s="2">
        <v>-0.85519999999999996</v>
      </c>
      <c r="D30" s="2">
        <v>-0.62360000000000004</v>
      </c>
      <c r="E30" s="2">
        <v>-0.37080000000000002</v>
      </c>
      <c r="F30" s="2">
        <v>-0.41620000000000001</v>
      </c>
      <c r="G30" s="2">
        <v>-0.45219999999999999</v>
      </c>
      <c r="H30" s="2">
        <v>-0.35120000000000001</v>
      </c>
      <c r="I30" s="2">
        <v>-0.35120000000000001</v>
      </c>
      <c r="J30" s="69">
        <f>J28/J3</f>
        <v>8.2054616384915471E-2</v>
      </c>
      <c r="K30" s="69">
        <f t="shared" ref="K30:N30" si="17">K28/K3</f>
        <v>9.2636708175419594E-2</v>
      </c>
      <c r="L30" s="69">
        <f t="shared" si="17"/>
        <v>0.10817941952506596</v>
      </c>
      <c r="M30" s="69">
        <f t="shared" si="17"/>
        <v>0.20894015861571738</v>
      </c>
      <c r="N30" s="69">
        <f t="shared" si="17"/>
        <v>0.23255148741418763</v>
      </c>
    </row>
    <row r="31" spans="1:18" ht="19">
      <c r="A31" s="5" t="s">
        <v>24</v>
      </c>
      <c r="B31" s="12">
        <v>-1.82</v>
      </c>
      <c r="C31" s="12">
        <v>-2.2799999999999998</v>
      </c>
      <c r="D31" s="12">
        <v>-4.0599999999999996</v>
      </c>
      <c r="E31" s="12">
        <v>-1.9</v>
      </c>
      <c r="F31" s="12">
        <v>-3.14</v>
      </c>
      <c r="G31" s="12">
        <v>-4.53</v>
      </c>
      <c r="H31" s="12">
        <v>-4.62</v>
      </c>
      <c r="I31" s="12">
        <v>-5.03</v>
      </c>
      <c r="J31" s="70">
        <v>1.79</v>
      </c>
      <c r="K31" s="70">
        <v>2.4300000000000002</v>
      </c>
      <c r="L31" s="70">
        <v>3.49</v>
      </c>
      <c r="M31" s="70">
        <v>8.2200000000000006</v>
      </c>
      <c r="N31" s="70">
        <v>11.53</v>
      </c>
    </row>
    <row r="32" spans="1:18" ht="19">
      <c r="A32" s="5" t="s">
        <v>25</v>
      </c>
      <c r="B32" s="12">
        <v>-1.82</v>
      </c>
      <c r="C32" s="12">
        <v>-2.2799999999999998</v>
      </c>
      <c r="D32" s="12">
        <v>-4.0599999999999996</v>
      </c>
      <c r="E32" s="12">
        <v>-1.9</v>
      </c>
      <c r="F32" s="12">
        <v>-3.14</v>
      </c>
      <c r="G32" s="12">
        <v>-4.53</v>
      </c>
      <c r="H32" s="12">
        <v>-4.62</v>
      </c>
      <c r="I32" s="12">
        <v>-5.03</v>
      </c>
    </row>
    <row r="33" spans="1:9" ht="19">
      <c r="A33" s="5" t="s">
        <v>26</v>
      </c>
      <c r="B33" s="1">
        <v>40296208</v>
      </c>
      <c r="C33" s="1">
        <v>38068020</v>
      </c>
      <c r="D33" s="1">
        <v>23718391</v>
      </c>
      <c r="E33" s="1">
        <v>52034596</v>
      </c>
      <c r="F33" s="1">
        <v>55939032</v>
      </c>
      <c r="G33" s="1">
        <v>58984604</v>
      </c>
      <c r="H33" s="1">
        <v>66386379</v>
      </c>
      <c r="I33" s="1">
        <v>68628267</v>
      </c>
    </row>
    <row r="34" spans="1:9" ht="19">
      <c r="A34" s="5" t="s">
        <v>27</v>
      </c>
      <c r="B34" s="1">
        <v>40296208</v>
      </c>
      <c r="C34" s="1">
        <v>38068020</v>
      </c>
      <c r="D34" s="1">
        <v>23718391</v>
      </c>
      <c r="E34" s="1">
        <v>52034596</v>
      </c>
      <c r="F34" s="1">
        <v>55939032</v>
      </c>
      <c r="G34" s="1">
        <v>58984604</v>
      </c>
      <c r="H34" s="1">
        <v>66386379</v>
      </c>
      <c r="I34" s="1">
        <v>68628267</v>
      </c>
    </row>
    <row r="35" spans="1:9" ht="20" customHeight="1">
      <c r="A35" s="14" t="s">
        <v>103</v>
      </c>
      <c r="B35" s="1"/>
      <c r="C35" s="22">
        <f>(C34-B34)/B34</f>
        <v>-5.5295227779249105E-2</v>
      </c>
      <c r="D35" s="22">
        <f t="shared" ref="D35:I35" si="18">(D34-C34)/C34</f>
        <v>-0.3769470805153512</v>
      </c>
      <c r="E35" s="22">
        <f t="shared" si="18"/>
        <v>1.1938501646254167</v>
      </c>
      <c r="F35" s="22">
        <f t="shared" si="18"/>
        <v>7.5035386072758212E-2</v>
      </c>
      <c r="G35" s="22">
        <f t="shared" si="18"/>
        <v>5.4444488778425768E-2</v>
      </c>
      <c r="H35" s="22">
        <f t="shared" si="18"/>
        <v>0.12548655917059306</v>
      </c>
      <c r="I35" s="22">
        <f t="shared" si="18"/>
        <v>3.3770300982977244E-2</v>
      </c>
    </row>
    <row r="36" spans="1:9" ht="19">
      <c r="A36" s="5" t="s">
        <v>28</v>
      </c>
      <c r="B36" s="13" t="s">
        <v>93</v>
      </c>
      <c r="C36" s="13" t="s">
        <v>93</v>
      </c>
      <c r="D36" s="13" t="s">
        <v>93</v>
      </c>
      <c r="E36" s="13" t="s">
        <v>93</v>
      </c>
      <c r="F36" s="13" t="s">
        <v>93</v>
      </c>
      <c r="G36" s="13" t="s">
        <v>93</v>
      </c>
      <c r="H36" s="13" t="s">
        <v>93</v>
      </c>
      <c r="I36" s="13" t="s">
        <v>93</v>
      </c>
    </row>
    <row r="37" spans="1:9" ht="21">
      <c r="A37" s="4" t="s">
        <v>29</v>
      </c>
      <c r="B37" s="9" t="s">
        <v>91</v>
      </c>
      <c r="C37" s="9" t="s">
        <v>91</v>
      </c>
      <c r="D37" s="9" t="s">
        <v>91</v>
      </c>
      <c r="E37" s="9" t="s">
        <v>91</v>
      </c>
      <c r="F37" s="9" t="s">
        <v>91</v>
      </c>
      <c r="G37" s="9" t="s">
        <v>91</v>
      </c>
      <c r="H37" s="9" t="s">
        <v>91</v>
      </c>
      <c r="I37" s="9"/>
    </row>
    <row r="38" spans="1:9" ht="19">
      <c r="A38" s="5" t="s">
        <v>30</v>
      </c>
      <c r="B38" s="1">
        <v>33205000</v>
      </c>
      <c r="C38" s="1">
        <v>69305000</v>
      </c>
      <c r="D38" s="1">
        <v>61902000</v>
      </c>
      <c r="E38" s="1">
        <v>147831000</v>
      </c>
      <c r="F38" s="1">
        <v>706192000</v>
      </c>
      <c r="G38" s="1">
        <v>429697000</v>
      </c>
      <c r="H38" s="1">
        <v>473904000</v>
      </c>
      <c r="I38" s="1">
        <v>455826000</v>
      </c>
    </row>
    <row r="39" spans="1:9" ht="19">
      <c r="A39" s="5" t="s">
        <v>31</v>
      </c>
      <c r="B39" s="1">
        <v>79954000</v>
      </c>
      <c r="C39" s="1">
        <v>47195000</v>
      </c>
      <c r="D39" s="1">
        <v>217072000</v>
      </c>
      <c r="E39" s="1">
        <v>318139000</v>
      </c>
      <c r="F39" s="1">
        <v>280326000</v>
      </c>
      <c r="G39" s="1">
        <v>528045000</v>
      </c>
      <c r="H39" s="1">
        <v>1352019000</v>
      </c>
      <c r="I39" s="1">
        <v>1380804000</v>
      </c>
    </row>
    <row r="40" spans="1:9" ht="19">
      <c r="A40" s="5" t="s">
        <v>32</v>
      </c>
      <c r="B40" s="1">
        <v>113159000</v>
      </c>
      <c r="C40" s="1">
        <v>116500000</v>
      </c>
      <c r="D40" s="1">
        <v>278974000</v>
      </c>
      <c r="E40" s="1">
        <v>465970000</v>
      </c>
      <c r="F40" s="1">
        <v>986518000</v>
      </c>
      <c r="G40" s="1">
        <v>957742000</v>
      </c>
      <c r="H40" s="1">
        <f>H38+H39</f>
        <v>1825923000</v>
      </c>
      <c r="I40" s="1">
        <f>I38+I39</f>
        <v>1836630000</v>
      </c>
    </row>
    <row r="41" spans="1:9" ht="19">
      <c r="A41" s="5" t="s">
        <v>33</v>
      </c>
      <c r="B41" s="1">
        <v>22432000</v>
      </c>
      <c r="C41" s="1">
        <v>31340000</v>
      </c>
      <c r="D41" s="1">
        <v>46872000</v>
      </c>
      <c r="E41" s="1">
        <v>72808000</v>
      </c>
      <c r="F41" s="1">
        <v>85554000</v>
      </c>
      <c r="G41" s="1">
        <v>135176000</v>
      </c>
      <c r="H41" s="1">
        <v>195383000</v>
      </c>
      <c r="I41" s="1">
        <v>285192000</v>
      </c>
    </row>
    <row r="42" spans="1:9" ht="19">
      <c r="A42" s="5" t="s">
        <v>34</v>
      </c>
      <c r="B42" s="1" t="s">
        <v>92</v>
      </c>
      <c r="C42" s="1" t="s">
        <v>92</v>
      </c>
      <c r="D42" s="1" t="s">
        <v>92</v>
      </c>
      <c r="E42" s="1" t="s">
        <v>92</v>
      </c>
      <c r="F42" s="1" t="s">
        <v>92</v>
      </c>
      <c r="G42" s="1" t="s">
        <v>92</v>
      </c>
      <c r="H42" s="1" t="s">
        <v>92</v>
      </c>
      <c r="I42" s="1" t="s">
        <v>92</v>
      </c>
    </row>
    <row r="43" spans="1:9" ht="19">
      <c r="A43" s="5" t="s">
        <v>35</v>
      </c>
      <c r="B43" s="1">
        <v>8436000</v>
      </c>
      <c r="C43" s="1">
        <v>10612000</v>
      </c>
      <c r="D43" s="1">
        <v>17704000</v>
      </c>
      <c r="E43" s="1">
        <v>27458000</v>
      </c>
      <c r="F43" s="1">
        <v>41124000</v>
      </c>
      <c r="G43" s="1">
        <v>48969000</v>
      </c>
      <c r="H43" s="1">
        <v>1448115000</v>
      </c>
      <c r="I43" s="1">
        <v>1448115000</v>
      </c>
    </row>
    <row r="44" spans="1:9" ht="19">
      <c r="A44" s="6" t="s">
        <v>36</v>
      </c>
      <c r="B44" s="10">
        <v>144027000</v>
      </c>
      <c r="C44" s="10">
        <v>158452000</v>
      </c>
      <c r="D44" s="10">
        <v>343550000</v>
      </c>
      <c r="E44" s="10">
        <v>566236000</v>
      </c>
      <c r="F44" s="10">
        <v>1113196000</v>
      </c>
      <c r="G44" s="10">
        <v>1141887000</v>
      </c>
      <c r="H44" s="10">
        <v>2117402000</v>
      </c>
      <c r="I44" s="10">
        <v>2236584000</v>
      </c>
    </row>
    <row r="45" spans="1:9" ht="19">
      <c r="A45" s="5" t="s">
        <v>37</v>
      </c>
      <c r="B45" s="1">
        <v>6031000</v>
      </c>
      <c r="C45" s="1">
        <v>4877000</v>
      </c>
      <c r="D45" s="1">
        <v>59557000</v>
      </c>
      <c r="E45" s="1">
        <v>73664000</v>
      </c>
      <c r="F45" s="1">
        <v>69463000</v>
      </c>
      <c r="G45" s="1">
        <v>96951000</v>
      </c>
      <c r="H45" s="1">
        <v>104370000</v>
      </c>
      <c r="I45" s="1">
        <v>104370000</v>
      </c>
    </row>
    <row r="46" spans="1:9" ht="19">
      <c r="A46" s="5" t="s">
        <v>38</v>
      </c>
      <c r="B46" s="1">
        <v>1700000</v>
      </c>
      <c r="C46" s="1">
        <v>1700000</v>
      </c>
      <c r="D46" s="1">
        <v>1700000</v>
      </c>
      <c r="E46" s="1">
        <v>41878000</v>
      </c>
      <c r="F46" s="1">
        <v>55830000</v>
      </c>
      <c r="G46" s="1">
        <v>55830000</v>
      </c>
      <c r="H46" s="1">
        <v>57775000</v>
      </c>
      <c r="I46" s="1">
        <v>57775000</v>
      </c>
    </row>
    <row r="47" spans="1:9" ht="19">
      <c r="A47" s="5" t="s">
        <v>39</v>
      </c>
      <c r="B47" s="1">
        <v>3394000</v>
      </c>
      <c r="C47" s="1">
        <v>2511000</v>
      </c>
      <c r="D47" s="1">
        <v>1627000</v>
      </c>
      <c r="E47" s="1">
        <v>15894000</v>
      </c>
      <c r="F47" s="1">
        <v>34779000</v>
      </c>
      <c r="G47" s="1">
        <v>26275000</v>
      </c>
      <c r="H47" s="1">
        <v>20608000</v>
      </c>
      <c r="I47" s="1">
        <v>11428000</v>
      </c>
    </row>
    <row r="48" spans="1:9" ht="19">
      <c r="A48" s="5" t="s">
        <v>40</v>
      </c>
      <c r="B48" s="1">
        <v>5094000</v>
      </c>
      <c r="C48" s="1">
        <v>4211000</v>
      </c>
      <c r="D48" s="1">
        <v>3327000</v>
      </c>
      <c r="E48" s="1">
        <v>57772000</v>
      </c>
      <c r="F48" s="1">
        <v>90609000</v>
      </c>
      <c r="G48" s="1">
        <v>82105000</v>
      </c>
      <c r="H48" s="1">
        <v>78383000</v>
      </c>
      <c r="I48" s="1">
        <f>I46+I47</f>
        <v>69203000</v>
      </c>
    </row>
    <row r="49" spans="1:9" ht="19">
      <c r="A49" s="5" t="s">
        <v>41</v>
      </c>
      <c r="B49" s="1" t="s">
        <v>92</v>
      </c>
      <c r="C49" s="1" t="s">
        <v>92</v>
      </c>
      <c r="D49" s="1" t="s">
        <v>92</v>
      </c>
      <c r="E49" s="1" t="s">
        <v>92</v>
      </c>
      <c r="F49" s="1" t="s">
        <v>92</v>
      </c>
      <c r="G49" s="1" t="s">
        <v>92</v>
      </c>
      <c r="H49" s="1" t="s">
        <v>92</v>
      </c>
      <c r="I49" s="1" t="s">
        <v>92</v>
      </c>
    </row>
    <row r="50" spans="1:9" ht="19">
      <c r="A50" s="5" t="s">
        <v>42</v>
      </c>
      <c r="B50" s="1">
        <v>68000</v>
      </c>
      <c r="C50" s="1">
        <v>114000</v>
      </c>
      <c r="D50" s="1">
        <v>326000</v>
      </c>
      <c r="E50" s="1">
        <v>1193000</v>
      </c>
      <c r="F50" s="1">
        <v>615000</v>
      </c>
      <c r="G50" s="1">
        <v>997000</v>
      </c>
      <c r="H50" s="1">
        <v>1939000</v>
      </c>
      <c r="I50" s="1">
        <v>2564000</v>
      </c>
    </row>
    <row r="51" spans="1:9" ht="19">
      <c r="A51" s="5" t="s">
        <v>43</v>
      </c>
      <c r="B51" s="1">
        <v>1593000</v>
      </c>
      <c r="C51" s="1">
        <v>6778000</v>
      </c>
      <c r="D51" s="1">
        <v>8436000</v>
      </c>
      <c r="E51" s="1">
        <v>34611000</v>
      </c>
      <c r="F51" s="1">
        <v>54684000</v>
      </c>
      <c r="G51" s="1">
        <v>85555000</v>
      </c>
      <c r="H51" s="1">
        <v>147494000</v>
      </c>
      <c r="I51" s="1">
        <v>181503000</v>
      </c>
    </row>
    <row r="52" spans="1:9" ht="19">
      <c r="A52" s="5" t="s">
        <v>44</v>
      </c>
      <c r="B52" s="1">
        <v>12786000</v>
      </c>
      <c r="C52" s="1">
        <v>15980000</v>
      </c>
      <c r="D52" s="1">
        <v>71646000</v>
      </c>
      <c r="E52" s="1">
        <v>167240000</v>
      </c>
      <c r="F52" s="1">
        <v>215371000</v>
      </c>
      <c r="G52" s="1">
        <v>265608000</v>
      </c>
      <c r="H52" s="1">
        <v>332186000</v>
      </c>
      <c r="I52" s="1">
        <v>332186000</v>
      </c>
    </row>
    <row r="53" spans="1:9" ht="19">
      <c r="A53" s="5" t="s">
        <v>45</v>
      </c>
      <c r="B53" s="1" t="s">
        <v>92</v>
      </c>
      <c r="C53" s="1" t="s">
        <v>92</v>
      </c>
      <c r="D53" s="1" t="s">
        <v>92</v>
      </c>
      <c r="E53" s="1" t="s">
        <v>92</v>
      </c>
      <c r="F53" s="1" t="s">
        <v>92</v>
      </c>
      <c r="G53" s="1" t="s">
        <v>92</v>
      </c>
      <c r="H53" s="1" t="s">
        <v>92</v>
      </c>
      <c r="I53" s="1" t="s">
        <v>92</v>
      </c>
    </row>
    <row r="54" spans="1:9" ht="20" thickBot="1">
      <c r="A54" s="7" t="s">
        <v>46</v>
      </c>
      <c r="B54" s="11">
        <v>156813000</v>
      </c>
      <c r="C54" s="11">
        <v>174432000</v>
      </c>
      <c r="D54" s="11">
        <v>415196000</v>
      </c>
      <c r="E54" s="11">
        <v>733476000</v>
      </c>
      <c r="F54" s="11">
        <v>1328567000</v>
      </c>
      <c r="G54" s="11">
        <v>1407495000</v>
      </c>
      <c r="H54" s="11">
        <v>2449588000</v>
      </c>
      <c r="I54" s="11">
        <f>I44+I45+I46+I47+I48+I50+I51</f>
        <v>2663427000</v>
      </c>
    </row>
    <row r="55" spans="1:9" ht="20" thickTop="1">
      <c r="A55" s="5" t="s">
        <v>47</v>
      </c>
      <c r="B55" s="1">
        <v>1514000</v>
      </c>
      <c r="C55" s="1">
        <v>2841000</v>
      </c>
      <c r="D55" s="1">
        <v>2261000</v>
      </c>
      <c r="E55" s="1">
        <v>2153000</v>
      </c>
      <c r="F55" s="1">
        <v>2849000</v>
      </c>
      <c r="G55" s="1">
        <v>4144000</v>
      </c>
      <c r="H55" s="1">
        <v>5234000</v>
      </c>
      <c r="I55" s="1">
        <v>8294000</v>
      </c>
    </row>
    <row r="56" spans="1:9" ht="19">
      <c r="A56" s="5" t="s">
        <v>48</v>
      </c>
      <c r="B56" s="1" t="s">
        <v>92</v>
      </c>
      <c r="C56" s="1" t="s">
        <v>92</v>
      </c>
      <c r="D56" s="1" t="s">
        <v>92</v>
      </c>
      <c r="E56" s="1" t="s">
        <v>92</v>
      </c>
      <c r="F56" s="1" t="s">
        <v>92</v>
      </c>
      <c r="G56" s="1">
        <v>2343000</v>
      </c>
      <c r="H56" s="1">
        <v>8084000</v>
      </c>
      <c r="I56" s="1">
        <v>8686000</v>
      </c>
    </row>
    <row r="57" spans="1:9" ht="19">
      <c r="A57" s="5" t="s">
        <v>49</v>
      </c>
      <c r="B57" s="1" t="s">
        <v>92</v>
      </c>
      <c r="C57" s="1" t="s">
        <v>92</v>
      </c>
      <c r="D57" s="1" t="s">
        <v>92</v>
      </c>
      <c r="E57" s="1" t="s">
        <v>92</v>
      </c>
      <c r="F57" s="1" t="s">
        <v>92</v>
      </c>
      <c r="G57" s="1" t="s">
        <v>92</v>
      </c>
      <c r="H57" s="1" t="s">
        <v>92</v>
      </c>
      <c r="I57" s="1" t="s">
        <v>92</v>
      </c>
    </row>
    <row r="58" spans="1:9" ht="19">
      <c r="A58" s="5" t="s">
        <v>50</v>
      </c>
      <c r="B58" s="1">
        <v>52035000</v>
      </c>
      <c r="C58" s="1">
        <v>78278000</v>
      </c>
      <c r="D58" s="1">
        <v>114500000</v>
      </c>
      <c r="E58" s="1">
        <v>122333000</v>
      </c>
      <c r="F58" s="1">
        <v>167498000</v>
      </c>
      <c r="G58" s="1">
        <v>221404000</v>
      </c>
      <c r="H58" s="1">
        <v>23179000</v>
      </c>
      <c r="I58" s="1">
        <v>31524000</v>
      </c>
    </row>
    <row r="59" spans="1:9" ht="19">
      <c r="A59" s="5" t="s">
        <v>51</v>
      </c>
      <c r="B59" s="1">
        <v>12123000</v>
      </c>
      <c r="C59" s="1">
        <v>16671000</v>
      </c>
      <c r="D59" s="1">
        <v>25856000</v>
      </c>
      <c r="E59" s="1">
        <v>40151000</v>
      </c>
      <c r="F59" s="1">
        <v>72037000</v>
      </c>
      <c r="G59" s="1">
        <v>126650000</v>
      </c>
      <c r="H59" s="1">
        <v>490238000</v>
      </c>
      <c r="I59" s="1">
        <v>490238000</v>
      </c>
    </row>
    <row r="60" spans="1:9" ht="19">
      <c r="A60" s="6" t="s">
        <v>52</v>
      </c>
      <c r="B60" s="10">
        <v>65672000</v>
      </c>
      <c r="C60" s="10">
        <v>97790000</v>
      </c>
      <c r="D60" s="10">
        <v>142617000</v>
      </c>
      <c r="E60" s="10">
        <v>164637000</v>
      </c>
      <c r="F60" s="10">
        <v>242384000</v>
      </c>
      <c r="G60" s="10">
        <v>354541000</v>
      </c>
      <c r="H60" s="10">
        <v>526735000</v>
      </c>
      <c r="I60" s="10">
        <v>588512000</v>
      </c>
    </row>
    <row r="61" spans="1:9" ht="19">
      <c r="A61" s="5" t="s">
        <v>53</v>
      </c>
      <c r="B61" s="1" t="s">
        <v>92</v>
      </c>
      <c r="C61" s="1" t="s">
        <v>92</v>
      </c>
      <c r="D61" s="1" t="s">
        <v>92</v>
      </c>
      <c r="E61" s="1">
        <v>216858000</v>
      </c>
      <c r="F61" s="1">
        <v>911075000</v>
      </c>
      <c r="G61" s="1">
        <v>976824000</v>
      </c>
      <c r="H61" s="1">
        <v>1175228000</v>
      </c>
      <c r="I61" s="1">
        <v>1207893000</v>
      </c>
    </row>
    <row r="62" spans="1:9" ht="19">
      <c r="A62" s="5" t="s">
        <v>50</v>
      </c>
      <c r="B62" s="1">
        <v>6225000</v>
      </c>
      <c r="C62" s="1">
        <v>15461000</v>
      </c>
      <c r="D62" s="1">
        <v>22930000</v>
      </c>
      <c r="E62" s="1">
        <v>15343000</v>
      </c>
      <c r="F62" s="1">
        <v>23281000</v>
      </c>
      <c r="G62" s="1">
        <v>16547000</v>
      </c>
      <c r="H62" s="1">
        <v>23179000</v>
      </c>
      <c r="I62" s="1">
        <v>31524000</v>
      </c>
    </row>
    <row r="63" spans="1:9" ht="19">
      <c r="A63" s="5" t="s">
        <v>54</v>
      </c>
      <c r="B63" s="1">
        <v>66000</v>
      </c>
      <c r="C63" s="1">
        <v>108000</v>
      </c>
      <c r="D63" s="1">
        <v>18000</v>
      </c>
      <c r="E63" s="1">
        <v>106000</v>
      </c>
      <c r="F63" s="1">
        <v>821000</v>
      </c>
      <c r="G63" s="1">
        <v>773000</v>
      </c>
      <c r="H63" s="1">
        <v>81000</v>
      </c>
      <c r="I63" s="1">
        <v>81000</v>
      </c>
    </row>
    <row r="64" spans="1:9" ht="19">
      <c r="A64" s="5" t="s">
        <v>55</v>
      </c>
      <c r="B64" s="1">
        <v>313355000</v>
      </c>
      <c r="C64" s="1">
        <v>347587000</v>
      </c>
      <c r="D64" s="1">
        <v>56138000</v>
      </c>
      <c r="E64" s="1">
        <v>71966000</v>
      </c>
      <c r="F64" s="1">
        <v>68148000</v>
      </c>
      <c r="G64" s="1">
        <v>63843000</v>
      </c>
      <c r="H64" s="1">
        <v>57665000</v>
      </c>
      <c r="I64" s="1">
        <v>52980000</v>
      </c>
    </row>
    <row r="65" spans="1:17" ht="19">
      <c r="A65" s="5" t="s">
        <v>56</v>
      </c>
      <c r="B65" s="1">
        <v>319646000</v>
      </c>
      <c r="C65" s="1">
        <v>363156000</v>
      </c>
      <c r="D65" s="1">
        <v>79086000</v>
      </c>
      <c r="E65" s="1">
        <v>304273000</v>
      </c>
      <c r="F65" s="1">
        <v>1003325000</v>
      </c>
      <c r="G65" s="1">
        <v>1057987000</v>
      </c>
      <c r="H65" s="1">
        <v>1256153000</v>
      </c>
      <c r="I65" s="1">
        <v>1260153000</v>
      </c>
    </row>
    <row r="66" spans="1:17" ht="19">
      <c r="A66" s="5" t="s">
        <v>57</v>
      </c>
      <c r="B66" s="1" t="s">
        <v>92</v>
      </c>
      <c r="C66" s="1" t="s">
        <v>92</v>
      </c>
      <c r="D66" s="1" t="s">
        <v>92</v>
      </c>
      <c r="E66" s="1" t="s">
        <v>92</v>
      </c>
      <c r="F66" s="1" t="s">
        <v>92</v>
      </c>
      <c r="G66" s="1" t="s">
        <v>92</v>
      </c>
      <c r="H66" s="1" t="s">
        <v>92</v>
      </c>
      <c r="I66" s="1" t="s">
        <v>92</v>
      </c>
    </row>
    <row r="67" spans="1:17" ht="19">
      <c r="A67" s="6" t="s">
        <v>58</v>
      </c>
      <c r="B67" s="10">
        <v>385318000</v>
      </c>
      <c r="C67" s="10">
        <v>460946000</v>
      </c>
      <c r="D67" s="10">
        <v>221703000</v>
      </c>
      <c r="E67" s="10">
        <v>468910000</v>
      </c>
      <c r="F67" s="10">
        <v>1245709000</v>
      </c>
      <c r="G67" s="10">
        <v>1412528000</v>
      </c>
      <c r="H67" s="10">
        <v>1782888000</v>
      </c>
      <c r="I67" s="10">
        <v>1849385000</v>
      </c>
    </row>
    <row r="68" spans="1:17" ht="19">
      <c r="A68" s="5" t="s">
        <v>59</v>
      </c>
      <c r="B68" s="1">
        <v>12000</v>
      </c>
      <c r="C68" s="1">
        <v>13000</v>
      </c>
      <c r="D68" s="1">
        <v>51000</v>
      </c>
      <c r="E68" s="1">
        <v>54000</v>
      </c>
      <c r="F68" s="1">
        <v>57000</v>
      </c>
      <c r="G68" s="1">
        <v>61000</v>
      </c>
      <c r="H68" s="1">
        <v>67000</v>
      </c>
      <c r="I68" s="1">
        <v>67000</v>
      </c>
    </row>
    <row r="69" spans="1:17" ht="19">
      <c r="A69" s="5" t="s">
        <v>60</v>
      </c>
      <c r="B69" s="1">
        <v>-259269000</v>
      </c>
      <c r="C69" s="1">
        <v>-347401000</v>
      </c>
      <c r="D69" s="1">
        <v>-443760000</v>
      </c>
      <c r="E69" s="1">
        <v>-488607000</v>
      </c>
      <c r="F69" s="1">
        <v>-668232000</v>
      </c>
      <c r="G69" s="1">
        <v>-935403000</v>
      </c>
      <c r="H69" s="1">
        <v>-1189634000</v>
      </c>
      <c r="I69" s="1">
        <v>-1535000000</v>
      </c>
    </row>
    <row r="70" spans="1:17" ht="19">
      <c r="A70" s="5" t="s">
        <v>61</v>
      </c>
      <c r="B70" s="1">
        <v>-7190000</v>
      </c>
      <c r="C70" s="1">
        <v>-9729000</v>
      </c>
      <c r="D70" s="1">
        <v>-12183000</v>
      </c>
      <c r="E70" s="1">
        <v>-3441000</v>
      </c>
      <c r="F70" s="1">
        <v>-5553000</v>
      </c>
      <c r="G70" s="1">
        <v>-704000</v>
      </c>
      <c r="H70" s="1">
        <v>-2928000</v>
      </c>
      <c r="I70" s="1">
        <v>-905000</v>
      </c>
    </row>
    <row r="71" spans="1:17" ht="19">
      <c r="A71" s="5" t="s">
        <v>62</v>
      </c>
      <c r="B71" s="1">
        <v>37942000</v>
      </c>
      <c r="C71" s="1">
        <v>70603000</v>
      </c>
      <c r="D71" s="1">
        <v>649385000</v>
      </c>
      <c r="E71" s="1">
        <v>756560000</v>
      </c>
      <c r="F71" s="1">
        <v>756586000</v>
      </c>
      <c r="G71" s="1">
        <v>931013000</v>
      </c>
      <c r="H71" s="1">
        <v>1859195000</v>
      </c>
      <c r="I71" s="1">
        <v>1859195000</v>
      </c>
    </row>
    <row r="72" spans="1:17" ht="19">
      <c r="A72" s="6" t="s">
        <v>63</v>
      </c>
      <c r="B72" s="10">
        <v>-228505000</v>
      </c>
      <c r="C72" s="10">
        <v>-286514000</v>
      </c>
      <c r="D72" s="10">
        <v>193493000</v>
      </c>
      <c r="E72" s="10">
        <v>264566000</v>
      </c>
      <c r="F72" s="10">
        <v>82858000</v>
      </c>
      <c r="G72" s="10">
        <v>-5033000</v>
      </c>
      <c r="H72" s="10">
        <v>666700000</v>
      </c>
      <c r="I72" s="10">
        <v>739508000</v>
      </c>
    </row>
    <row r="73" spans="1:17" ht="20" thickBot="1">
      <c r="A73" s="7" t="s">
        <v>64</v>
      </c>
      <c r="B73" s="11">
        <v>156813000</v>
      </c>
      <c r="C73" s="11">
        <v>174432000</v>
      </c>
      <c r="D73" s="11">
        <v>415196000</v>
      </c>
      <c r="E73" s="11">
        <v>733476000</v>
      </c>
      <c r="F73" s="11">
        <v>1328567000</v>
      </c>
      <c r="G73" s="11">
        <v>1407495000</v>
      </c>
      <c r="H73" s="11">
        <v>2449588000</v>
      </c>
      <c r="I73" s="11">
        <v>2588893000</v>
      </c>
    </row>
    <row r="74" spans="1:17" ht="20" thickTop="1">
      <c r="A74" s="5" t="s">
        <v>28</v>
      </c>
      <c r="B74" s="13" t="s">
        <v>93</v>
      </c>
      <c r="C74" s="13" t="s">
        <v>93</v>
      </c>
      <c r="D74" s="13" t="s">
        <v>93</v>
      </c>
      <c r="E74" s="13" t="s">
        <v>93</v>
      </c>
      <c r="F74" s="13" t="s">
        <v>93</v>
      </c>
      <c r="G74" s="13" t="s">
        <v>93</v>
      </c>
      <c r="H74" s="13" t="s">
        <v>93</v>
      </c>
    </row>
    <row r="75" spans="1:17" ht="21">
      <c r="A75" s="4" t="s">
        <v>65</v>
      </c>
      <c r="B75" s="9" t="s">
        <v>91</v>
      </c>
      <c r="C75" s="9" t="s">
        <v>91</v>
      </c>
      <c r="D75" s="9" t="s">
        <v>91</v>
      </c>
      <c r="E75" s="9" t="s">
        <v>91</v>
      </c>
      <c r="F75" s="9" t="s">
        <v>91</v>
      </c>
      <c r="G75" s="9" t="s">
        <v>91</v>
      </c>
      <c r="H75" s="9" t="s">
        <v>91</v>
      </c>
      <c r="I75" s="9" t="s">
        <v>91</v>
      </c>
    </row>
    <row r="76" spans="1:17" ht="19">
      <c r="A76" s="5" t="s">
        <v>66</v>
      </c>
      <c r="B76" s="1">
        <v>-73486000</v>
      </c>
      <c r="C76" s="1">
        <v>-86681000</v>
      </c>
      <c r="D76" s="1">
        <v>-96359000</v>
      </c>
      <c r="E76" s="1">
        <v>-99011000</v>
      </c>
      <c r="F76" s="1">
        <v>-175522000</v>
      </c>
      <c r="G76" s="1">
        <v>-266944000</v>
      </c>
      <c r="H76" s="1">
        <v>-306866000</v>
      </c>
      <c r="I76" s="1">
        <v>-345398000</v>
      </c>
    </row>
    <row r="77" spans="1:17" ht="19">
      <c r="A77" s="5" t="s">
        <v>13</v>
      </c>
      <c r="B77" s="1">
        <v>4062000</v>
      </c>
      <c r="C77" s="1">
        <v>3751000</v>
      </c>
      <c r="D77" s="1">
        <v>3703000</v>
      </c>
      <c r="E77" s="1">
        <v>5792000</v>
      </c>
      <c r="F77" s="1">
        <v>19774000</v>
      </c>
      <c r="G77" s="1">
        <v>24532000</v>
      </c>
      <c r="H77" s="1">
        <v>17645000</v>
      </c>
      <c r="I77" s="1">
        <v>16110000</v>
      </c>
    </row>
    <row r="78" spans="1:17" ht="19">
      <c r="A78" s="5" t="s">
        <v>67</v>
      </c>
      <c r="B78" s="1">
        <v>-2000</v>
      </c>
      <c r="C78" s="1">
        <v>-4000</v>
      </c>
      <c r="D78" s="1">
        <v>-302000</v>
      </c>
      <c r="E78" s="1">
        <v>-4960000</v>
      </c>
      <c r="F78" s="1">
        <v>-3292000</v>
      </c>
      <c r="G78" s="1">
        <v>-364000</v>
      </c>
      <c r="H78" s="1">
        <v>-2579000</v>
      </c>
      <c r="I78" s="1">
        <v>-2579000</v>
      </c>
    </row>
    <row r="79" spans="1:17" ht="19">
      <c r="A79" s="5" t="s">
        <v>68</v>
      </c>
      <c r="B79" s="1">
        <v>12787000</v>
      </c>
      <c r="C79" s="1">
        <v>21004000</v>
      </c>
      <c r="D79" s="1">
        <v>21235000</v>
      </c>
      <c r="E79" s="1">
        <v>37403000</v>
      </c>
      <c r="F79" s="1">
        <v>75776000</v>
      </c>
      <c r="G79" s="1">
        <v>149313000</v>
      </c>
      <c r="H79" s="1">
        <v>251069000</v>
      </c>
      <c r="I79" s="1">
        <v>381454000</v>
      </c>
    </row>
    <row r="80" spans="1:17" ht="19">
      <c r="A80" s="14" t="s">
        <v>104</v>
      </c>
      <c r="B80" s="15">
        <f t="shared" ref="B80:H80" si="19">B79/B3</f>
        <v>0.19590629835608464</v>
      </c>
      <c r="C80" s="15">
        <f t="shared" si="19"/>
        <v>0.20722587264942086</v>
      </c>
      <c r="D80" s="15">
        <f t="shared" si="19"/>
        <v>0.13742646535377526</v>
      </c>
      <c r="E80" s="15">
        <f t="shared" si="19"/>
        <v>0.1400777481499236</v>
      </c>
      <c r="F80" s="15">
        <f t="shared" si="19"/>
        <v>0.17968320212463246</v>
      </c>
      <c r="G80" s="15">
        <f t="shared" si="19"/>
        <v>0.25290999017581894</v>
      </c>
      <c r="H80" s="15">
        <f t="shared" si="19"/>
        <v>0.28733597167256819</v>
      </c>
      <c r="I80" s="15">
        <f t="shared" ref="I80" si="20">I79/I3</f>
        <v>0.29708255451713395</v>
      </c>
      <c r="J80" s="15"/>
      <c r="K80" s="15"/>
      <c r="L80" s="15"/>
      <c r="M80" s="15"/>
      <c r="N80" s="15"/>
      <c r="O80" s="15"/>
      <c r="P80" s="15"/>
      <c r="Q80" s="15"/>
    </row>
    <row r="81" spans="1:17" ht="19">
      <c r="A81" s="5" t="s">
        <v>69</v>
      </c>
      <c r="B81" s="1">
        <v>9730000</v>
      </c>
      <c r="C81" s="1">
        <v>23890000</v>
      </c>
      <c r="D81" s="1">
        <v>26943000</v>
      </c>
      <c r="E81" s="1">
        <v>9818000</v>
      </c>
      <c r="F81" s="1">
        <v>26592000</v>
      </c>
      <c r="G81" s="1">
        <v>1539000</v>
      </c>
      <c r="H81" s="1">
        <v>27837000</v>
      </c>
      <c r="I81" s="1">
        <v>24641000</v>
      </c>
    </row>
    <row r="82" spans="1:17" ht="19">
      <c r="A82" s="5" t="s">
        <v>70</v>
      </c>
      <c r="B82" s="1">
        <v>-10123000</v>
      </c>
      <c r="C82" s="1">
        <v>-9263000</v>
      </c>
      <c r="D82" s="1">
        <v>-15901000</v>
      </c>
      <c r="E82" s="1">
        <v>-19445000</v>
      </c>
      <c r="F82" s="1">
        <v>-12692000</v>
      </c>
      <c r="G82" s="1">
        <v>-47633000</v>
      </c>
      <c r="H82" s="1">
        <v>-62277000</v>
      </c>
      <c r="I82" s="1">
        <v>-91450000</v>
      </c>
    </row>
    <row r="83" spans="1:17" ht="21">
      <c r="A83" s="5" t="s">
        <v>34</v>
      </c>
      <c r="B83" s="1" t="s">
        <v>92</v>
      </c>
      <c r="C83" s="1" t="s">
        <v>92</v>
      </c>
      <c r="D83" s="1" t="s">
        <v>92</v>
      </c>
      <c r="E83" s="1" t="s">
        <v>92</v>
      </c>
      <c r="F83" s="1" t="s">
        <v>92</v>
      </c>
      <c r="G83" s="1" t="s">
        <v>92</v>
      </c>
      <c r="H83" s="1" t="s">
        <v>92</v>
      </c>
      <c r="I83" s="1" t="s">
        <v>92</v>
      </c>
      <c r="P83" s="73" t="s">
        <v>126</v>
      </c>
      <c r="Q83" s="74"/>
    </row>
    <row r="84" spans="1:17" ht="19">
      <c r="A84" s="5" t="s">
        <v>47</v>
      </c>
      <c r="B84" s="1">
        <v>371000</v>
      </c>
      <c r="C84" s="1">
        <v>1296000</v>
      </c>
      <c r="D84" s="1">
        <v>-371000</v>
      </c>
      <c r="E84" s="1">
        <v>-913000</v>
      </c>
      <c r="F84" s="1">
        <v>513000</v>
      </c>
      <c r="G84" s="1">
        <v>1216000</v>
      </c>
      <c r="H84" s="1">
        <v>1146000</v>
      </c>
      <c r="I84" s="1">
        <v>3161000</v>
      </c>
      <c r="P84" s="75" t="s">
        <v>127</v>
      </c>
      <c r="Q84" s="76"/>
    </row>
    <row r="85" spans="1:17" ht="19" customHeight="1">
      <c r="A85" s="5" t="s">
        <v>71</v>
      </c>
      <c r="B85" s="1">
        <v>16491000</v>
      </c>
      <c r="C85" s="1">
        <v>29143000</v>
      </c>
      <c r="D85" s="1">
        <v>38382000</v>
      </c>
      <c r="E85" s="1">
        <v>22188000</v>
      </c>
      <c r="F85" s="1">
        <v>24692000</v>
      </c>
      <c r="G85" s="1">
        <v>6616000</v>
      </c>
      <c r="H85" s="1">
        <v>52499000</v>
      </c>
      <c r="I85" s="1">
        <v>32978000</v>
      </c>
      <c r="P85" s="30" t="s">
        <v>128</v>
      </c>
      <c r="Q85" s="31">
        <f>I17</f>
        <v>0</v>
      </c>
    </row>
    <row r="86" spans="1:17" ht="20">
      <c r="A86" s="5" t="s">
        <v>72</v>
      </c>
      <c r="B86" s="1">
        <v>-52000</v>
      </c>
      <c r="C86" s="1">
        <v>-38000</v>
      </c>
      <c r="D86" s="1">
        <v>-101000</v>
      </c>
      <c r="E86" s="1">
        <v>8969000</v>
      </c>
      <c r="F86" s="1">
        <v>27132000</v>
      </c>
      <c r="G86" s="1">
        <v>49251000</v>
      </c>
      <c r="H86" s="1">
        <v>19874000</v>
      </c>
      <c r="I86" s="1">
        <v>34882000</v>
      </c>
      <c r="P86" s="30" t="s">
        <v>129</v>
      </c>
      <c r="Q86" s="31">
        <f>I56</f>
        <v>8686000</v>
      </c>
    </row>
    <row r="87" spans="1:17" ht="20">
      <c r="A87" s="6" t="s">
        <v>73</v>
      </c>
      <c r="B87" s="10">
        <v>-46961000</v>
      </c>
      <c r="C87" s="10">
        <v>-38078000</v>
      </c>
      <c r="D87" s="10">
        <v>-44881000</v>
      </c>
      <c r="E87" s="10">
        <v>-41989000</v>
      </c>
      <c r="F87" s="10">
        <v>-29540000</v>
      </c>
      <c r="G87" s="10">
        <v>-42673000</v>
      </c>
      <c r="H87" s="10">
        <v>6980000</v>
      </c>
      <c r="I87" s="10">
        <v>-12970000</v>
      </c>
      <c r="P87" s="30" t="s">
        <v>130</v>
      </c>
      <c r="Q87" s="31">
        <f>I61</f>
        <v>1207893000</v>
      </c>
    </row>
    <row r="88" spans="1:17" ht="20">
      <c r="A88" s="5" t="s">
        <v>74</v>
      </c>
      <c r="B88" s="1">
        <v>-468000</v>
      </c>
      <c r="C88" s="1">
        <v>-1683000</v>
      </c>
      <c r="D88" s="1">
        <v>-2135000</v>
      </c>
      <c r="E88" s="1">
        <v>-6848000</v>
      </c>
      <c r="F88" s="1">
        <v>-3564000</v>
      </c>
      <c r="G88" s="1">
        <v>-11773000</v>
      </c>
      <c r="H88" s="1">
        <v>-8072000</v>
      </c>
      <c r="I88" s="1">
        <v>-7244000</v>
      </c>
      <c r="P88" s="32" t="s">
        <v>131</v>
      </c>
      <c r="Q88" s="33">
        <f>Q85/(Q86+Q87)</f>
        <v>0</v>
      </c>
    </row>
    <row r="89" spans="1:17" ht="20" customHeight="1">
      <c r="A89" s="14" t="s">
        <v>105</v>
      </c>
      <c r="B89" s="15">
        <f t="shared" ref="B89:H89" si="21">(-1*B88)/B3</f>
        <v>7.1701061727260191E-3</v>
      </c>
      <c r="C89" s="15">
        <f t="shared" si="21"/>
        <v>1.6604510744095188E-2</v>
      </c>
      <c r="D89" s="15">
        <f t="shared" si="21"/>
        <v>1.3817071039807402E-2</v>
      </c>
      <c r="E89" s="15">
        <f t="shared" si="21"/>
        <v>2.564640321179255E-2</v>
      </c>
      <c r="F89" s="15">
        <f t="shared" si="21"/>
        <v>8.4511049985772548E-3</v>
      </c>
      <c r="G89" s="15">
        <f t="shared" si="21"/>
        <v>1.994139367864765E-2</v>
      </c>
      <c r="H89" s="15">
        <f t="shared" si="21"/>
        <v>9.238002156144209E-3</v>
      </c>
      <c r="I89" s="15">
        <f t="shared" ref="I89" si="22">(-1*I88)/I3</f>
        <v>5.6417445482866042E-3</v>
      </c>
      <c r="P89" s="30" t="s">
        <v>106</v>
      </c>
      <c r="Q89" s="31">
        <f>I27</f>
        <v>12144000</v>
      </c>
    </row>
    <row r="90" spans="1:17" ht="20">
      <c r="A90" s="5" t="s">
        <v>75</v>
      </c>
      <c r="B90" s="1" t="s">
        <v>92</v>
      </c>
      <c r="C90" s="1" t="s">
        <v>92</v>
      </c>
      <c r="D90" s="1" t="s">
        <v>92</v>
      </c>
      <c r="E90" s="1">
        <v>-56000000</v>
      </c>
      <c r="F90" s="1">
        <v>-39000000</v>
      </c>
      <c r="G90" s="1" t="s">
        <v>92</v>
      </c>
      <c r="H90" s="1">
        <v>-4469000</v>
      </c>
      <c r="I90" s="1">
        <v>0</v>
      </c>
      <c r="P90" s="30" t="s">
        <v>19</v>
      </c>
      <c r="Q90" s="31">
        <f>I25</f>
        <v>-333254000</v>
      </c>
    </row>
    <row r="91" spans="1:17" ht="20">
      <c r="A91" s="5" t="s">
        <v>76</v>
      </c>
      <c r="B91" s="1">
        <v>-117954000</v>
      </c>
      <c r="C91" s="1">
        <v>-82036000</v>
      </c>
      <c r="D91" s="1">
        <v>-252382000</v>
      </c>
      <c r="E91" s="1">
        <v>-547914000</v>
      </c>
      <c r="F91" s="1">
        <v>-429452000</v>
      </c>
      <c r="G91" s="1">
        <v>-990883000</v>
      </c>
      <c r="H91" s="1">
        <v>-1385258000</v>
      </c>
      <c r="I91" s="1">
        <v>-1444796600</v>
      </c>
      <c r="P91" s="32" t="s">
        <v>132</v>
      </c>
      <c r="Q91" s="33">
        <f>Q89/Q90</f>
        <v>-3.6440672880145478E-2</v>
      </c>
    </row>
    <row r="92" spans="1:17" ht="20">
      <c r="A92" s="5" t="s">
        <v>77</v>
      </c>
      <c r="B92" s="1">
        <v>38000000</v>
      </c>
      <c r="C92" s="1">
        <v>114775000</v>
      </c>
      <c r="D92" s="1">
        <v>82230000</v>
      </c>
      <c r="E92" s="1">
        <v>450000000</v>
      </c>
      <c r="F92" s="1">
        <v>470000000</v>
      </c>
      <c r="G92" s="1">
        <v>740000000</v>
      </c>
      <c r="H92" s="1">
        <v>550000000</v>
      </c>
      <c r="I92" s="1">
        <v>1425000000</v>
      </c>
      <c r="P92" s="34" t="s">
        <v>133</v>
      </c>
      <c r="Q92" s="35">
        <f>Q88*(1-Q91)</f>
        <v>0</v>
      </c>
    </row>
    <row r="93" spans="1:17" ht="19">
      <c r="A93" s="5" t="s">
        <v>78</v>
      </c>
      <c r="B93" s="1" t="s">
        <v>92</v>
      </c>
      <c r="C93" s="1" t="s">
        <v>92</v>
      </c>
      <c r="D93" s="1" t="s">
        <v>92</v>
      </c>
      <c r="E93" s="1">
        <v>483000</v>
      </c>
      <c r="F93" s="1">
        <v>371000</v>
      </c>
      <c r="G93" s="1" t="s">
        <v>92</v>
      </c>
      <c r="H93" s="1">
        <v>-4343000</v>
      </c>
      <c r="I93" s="1">
        <v>-3098000</v>
      </c>
      <c r="P93" s="75" t="s">
        <v>134</v>
      </c>
      <c r="Q93" s="76"/>
    </row>
    <row r="94" spans="1:17" ht="19" customHeight="1">
      <c r="A94" s="6" t="s">
        <v>79</v>
      </c>
      <c r="B94" s="10">
        <v>-80422000</v>
      </c>
      <c r="C94" s="10">
        <v>31056000</v>
      </c>
      <c r="D94" s="10">
        <v>-172287000</v>
      </c>
      <c r="E94" s="10">
        <v>-160279000</v>
      </c>
      <c r="F94" s="10">
        <v>-1645000</v>
      </c>
      <c r="G94" s="10">
        <v>-262656000</v>
      </c>
      <c r="H94" s="10">
        <v>-852142000</v>
      </c>
      <c r="I94" s="10">
        <v>-33308000</v>
      </c>
      <c r="P94" s="30" t="s">
        <v>135</v>
      </c>
      <c r="Q94" s="36">
        <v>4.095E-2</v>
      </c>
    </row>
    <row r="95" spans="1:17" ht="20">
      <c r="A95" s="5" t="s">
        <v>80</v>
      </c>
      <c r="B95" s="1" t="s">
        <v>92</v>
      </c>
      <c r="C95" s="1" t="s">
        <v>92</v>
      </c>
      <c r="D95" s="1" t="s">
        <v>92</v>
      </c>
      <c r="E95" s="1" t="s">
        <v>92</v>
      </c>
      <c r="F95" s="1">
        <v>-480985000</v>
      </c>
      <c r="G95" s="1">
        <v>-4633000</v>
      </c>
      <c r="H95" s="1">
        <v>-5572000</v>
      </c>
      <c r="I95" s="1">
        <v>-4510000</v>
      </c>
      <c r="P95" s="30" t="s">
        <v>136</v>
      </c>
      <c r="Q95" s="37" cm="1">
        <f t="array" ref="Q95">_FV(A1,"Beta")</f>
        <v>1.0888</v>
      </c>
    </row>
    <row r="96" spans="1:17" ht="20">
      <c r="A96" s="5" t="s">
        <v>81</v>
      </c>
      <c r="B96" s="1" t="s">
        <v>92</v>
      </c>
      <c r="C96" s="1" t="s">
        <v>92</v>
      </c>
      <c r="D96" s="1">
        <v>205494000</v>
      </c>
      <c r="E96" s="1" t="s">
        <v>92</v>
      </c>
      <c r="F96" s="1" t="s">
        <v>92</v>
      </c>
      <c r="G96" s="1" t="s">
        <v>92</v>
      </c>
      <c r="H96" s="1">
        <v>889184000</v>
      </c>
      <c r="I96" s="1">
        <v>34710000</v>
      </c>
      <c r="P96" s="30" t="s">
        <v>137</v>
      </c>
      <c r="Q96" s="36">
        <v>8.4000000000000005E-2</v>
      </c>
    </row>
    <row r="97" spans="1:21" ht="20">
      <c r="A97" s="5" t="s">
        <v>82</v>
      </c>
      <c r="B97" s="1" t="s">
        <v>92</v>
      </c>
      <c r="C97" s="1" t="s">
        <v>92</v>
      </c>
      <c r="D97" s="1" t="s">
        <v>92</v>
      </c>
      <c r="E97" s="1" t="s">
        <v>92</v>
      </c>
      <c r="F97" s="1" t="s">
        <v>92</v>
      </c>
      <c r="G97" s="1" t="s">
        <v>92</v>
      </c>
      <c r="H97" s="1" t="s">
        <v>92</v>
      </c>
      <c r="I97" s="1" t="s">
        <v>92</v>
      </c>
      <c r="P97" s="34" t="s">
        <v>138</v>
      </c>
      <c r="Q97" s="35">
        <f>(Q94)+((Q95)*(Q96-Q94))</f>
        <v>8.7822840000000013E-2</v>
      </c>
    </row>
    <row r="98" spans="1:21" ht="19">
      <c r="A98" s="5" t="s">
        <v>83</v>
      </c>
      <c r="B98" s="1" t="s">
        <v>92</v>
      </c>
      <c r="C98" s="1" t="s">
        <v>92</v>
      </c>
      <c r="D98" s="1" t="s">
        <v>92</v>
      </c>
      <c r="E98" s="1" t="s">
        <v>92</v>
      </c>
      <c r="F98" s="1" t="s">
        <v>92</v>
      </c>
      <c r="G98" s="1" t="s">
        <v>92</v>
      </c>
      <c r="H98" s="1" t="s">
        <v>92</v>
      </c>
      <c r="I98" s="1" t="s">
        <v>92</v>
      </c>
      <c r="P98" s="75" t="s">
        <v>139</v>
      </c>
      <c r="Q98" s="76"/>
    </row>
    <row r="99" spans="1:21" ht="19" customHeight="1">
      <c r="A99" s="5" t="s">
        <v>84</v>
      </c>
      <c r="B99" s="1">
        <v>3087000</v>
      </c>
      <c r="C99" s="1">
        <v>43114000</v>
      </c>
      <c r="D99" s="1">
        <v>4398000</v>
      </c>
      <c r="E99" s="1">
        <v>288236000</v>
      </c>
      <c r="F99" s="1">
        <v>1070223000</v>
      </c>
      <c r="G99" s="1">
        <v>32214000</v>
      </c>
      <c r="H99" s="1">
        <v>7280000</v>
      </c>
      <c r="I99" s="1">
        <v>0</v>
      </c>
      <c r="P99" s="30" t="s">
        <v>140</v>
      </c>
      <c r="Q99" s="31">
        <f>Q86+Q87</f>
        <v>1216579000</v>
      </c>
    </row>
    <row r="100" spans="1:21" ht="20">
      <c r="A100" s="6" t="s">
        <v>85</v>
      </c>
      <c r="B100" s="10">
        <v>3087000</v>
      </c>
      <c r="C100" s="10">
        <v>43114000</v>
      </c>
      <c r="D100" s="10">
        <v>209892000</v>
      </c>
      <c r="E100" s="10">
        <v>288236000</v>
      </c>
      <c r="F100" s="10">
        <v>589238000</v>
      </c>
      <c r="G100" s="10">
        <v>27581000</v>
      </c>
      <c r="H100" s="10">
        <v>890892000</v>
      </c>
      <c r="I100" s="10">
        <v>30200000</v>
      </c>
      <c r="P100" s="32" t="s">
        <v>141</v>
      </c>
      <c r="Q100" s="33">
        <f>Q99/Q103</f>
        <v>4.2496770288214095E-2</v>
      </c>
    </row>
    <row r="101" spans="1:21" ht="20">
      <c r="A101" s="5" t="s">
        <v>86</v>
      </c>
      <c r="B101" s="1">
        <v>-92000</v>
      </c>
      <c r="C101" s="1">
        <v>7000</v>
      </c>
      <c r="D101" s="1">
        <v>291000</v>
      </c>
      <c r="E101" s="1">
        <v>-48000</v>
      </c>
      <c r="F101" s="1">
        <v>306000</v>
      </c>
      <c r="G101" s="1">
        <v>1264000</v>
      </c>
      <c r="H101" s="1">
        <v>-1532000</v>
      </c>
      <c r="I101" s="1">
        <v>-2003000</v>
      </c>
      <c r="P101" s="30" t="s">
        <v>142</v>
      </c>
      <c r="Q101" s="38" cm="1">
        <f t="array" ref="Q101">_FV(A1,"Market cap",TRUE)</f>
        <v>27410984736</v>
      </c>
    </row>
    <row r="102" spans="1:21" ht="20">
      <c r="A102" s="6" t="s">
        <v>87</v>
      </c>
      <c r="B102" s="10">
        <v>-124388000</v>
      </c>
      <c r="C102" s="10">
        <v>36099000</v>
      </c>
      <c r="D102" s="10">
        <v>-6985000</v>
      </c>
      <c r="E102" s="10">
        <v>85920000</v>
      </c>
      <c r="F102" s="10">
        <v>558359000</v>
      </c>
      <c r="G102" s="10">
        <v>-276484000</v>
      </c>
      <c r="H102" s="10">
        <v>44198000</v>
      </c>
      <c r="I102" s="10">
        <v>-18081000</v>
      </c>
      <c r="P102" s="32" t="s">
        <v>143</v>
      </c>
      <c r="Q102" s="33">
        <f>Q101/Q103</f>
        <v>0.95750322971178592</v>
      </c>
    </row>
    <row r="103" spans="1:21" ht="20">
      <c r="A103" s="5" t="s">
        <v>88</v>
      </c>
      <c r="B103" s="1">
        <v>157701000</v>
      </c>
      <c r="C103" s="1">
        <v>33313000</v>
      </c>
      <c r="D103" s="1">
        <v>69412000</v>
      </c>
      <c r="E103" s="1">
        <v>62427000</v>
      </c>
      <c r="F103" s="1">
        <v>148347000</v>
      </c>
      <c r="G103" s="1">
        <v>706706000</v>
      </c>
      <c r="H103" s="1">
        <v>430222000</v>
      </c>
      <c r="I103" s="1">
        <v>474000000</v>
      </c>
      <c r="P103" s="34" t="s">
        <v>144</v>
      </c>
      <c r="Q103" s="39">
        <f>Q99+Q101</f>
        <v>28627563736</v>
      </c>
    </row>
    <row r="104" spans="1:21" ht="20" thickBot="1">
      <c r="A104" s="7" t="s">
        <v>89</v>
      </c>
      <c r="B104" s="11">
        <v>33313000</v>
      </c>
      <c r="C104" s="11">
        <v>69412000</v>
      </c>
      <c r="D104" s="11">
        <v>62427000</v>
      </c>
      <c r="E104" s="11">
        <v>148347000</v>
      </c>
      <c r="F104" s="11">
        <v>706706000</v>
      </c>
      <c r="G104" s="11">
        <v>430222000</v>
      </c>
      <c r="H104" s="11">
        <v>474420000</v>
      </c>
      <c r="I104" s="11">
        <v>456339000</v>
      </c>
      <c r="P104" s="75" t="s">
        <v>145</v>
      </c>
      <c r="Q104" s="76"/>
    </row>
    <row r="105" spans="1:21" ht="21" thickTop="1">
      <c r="A105" s="14" t="s">
        <v>107</v>
      </c>
      <c r="B105" s="1"/>
      <c r="C105" s="15">
        <f>(C106/B106)-1</f>
        <v>-0.16167323789242871</v>
      </c>
      <c r="D105" s="15">
        <f>(D106/C106)-1</f>
        <v>0.18246522974774271</v>
      </c>
      <c r="E105" s="15">
        <f>(E106/D106)-1</f>
        <v>3.8731495661051607E-2</v>
      </c>
      <c r="F105" s="15">
        <f>(F106/E106)-1</f>
        <v>-0.32215328541884225</v>
      </c>
      <c r="G105" s="15">
        <f>(G106/F106)-1</f>
        <v>0.64469550507491546</v>
      </c>
      <c r="H105" s="15">
        <f t="shared" ref="H105" si="23">(H106/G106)-1</f>
        <v>-0.97994343018770891</v>
      </c>
      <c r="I105" s="15">
        <f>(I106/H106)-1</f>
        <v>17.510989010989011</v>
      </c>
      <c r="J105" s="58">
        <v>150000000</v>
      </c>
      <c r="K105" s="58">
        <v>195700000</v>
      </c>
      <c r="L105" s="58">
        <v>280400000</v>
      </c>
      <c r="M105" s="58">
        <v>432800000</v>
      </c>
      <c r="N105" s="58">
        <v>613800000</v>
      </c>
      <c r="O105" s="15"/>
      <c r="P105" s="23" t="s">
        <v>108</v>
      </c>
      <c r="Q105" s="24">
        <f>(Q100*Q92)+(Q102*Q97)</f>
        <v>8.409065294246143E-2</v>
      </c>
      <c r="R105" s="15"/>
      <c r="S105" s="15"/>
      <c r="T105" s="15"/>
      <c r="U105" s="15"/>
    </row>
    <row r="106" spans="1:21" ht="19">
      <c r="A106" s="5" t="s">
        <v>90</v>
      </c>
      <c r="B106" s="1">
        <v>-47429000</v>
      </c>
      <c r="C106" s="1">
        <v>-39761000</v>
      </c>
      <c r="D106" s="1">
        <v>-47016000</v>
      </c>
      <c r="E106" s="1">
        <v>-48837000</v>
      </c>
      <c r="F106" s="1">
        <v>-33104000</v>
      </c>
      <c r="G106" s="1">
        <v>-54446000</v>
      </c>
      <c r="H106" s="1">
        <v>-1092000</v>
      </c>
      <c r="I106" s="1">
        <v>-20214000</v>
      </c>
      <c r="J106" s="40">
        <f>I106*(1+$Q$106)</f>
        <v>-24701775.373937402</v>
      </c>
      <c r="K106" s="40">
        <f t="shared" ref="K106:N106" si="24">J106*(1+$Q$106)</f>
        <v>-30185896.241439611</v>
      </c>
      <c r="L106" s="40">
        <f t="shared" si="24"/>
        <v>-36887564.480905443</v>
      </c>
      <c r="M106" s="40">
        <f t="shared" si="24"/>
        <v>-45077091.713612251</v>
      </c>
      <c r="N106" s="40">
        <f t="shared" si="24"/>
        <v>-55084802.316217713</v>
      </c>
      <c r="O106" s="41" t="s">
        <v>146</v>
      </c>
      <c r="P106" s="42" t="s">
        <v>147</v>
      </c>
      <c r="Q106" s="43">
        <f>(SUM(J4:N4)/5)</f>
        <v>0.22201322716619179</v>
      </c>
    </row>
    <row r="107" spans="1:21" ht="19">
      <c r="A107" s="5"/>
      <c r="B107" s="13"/>
      <c r="C107" s="13"/>
      <c r="D107" s="13"/>
      <c r="E107" s="13"/>
      <c r="J107" s="41"/>
      <c r="K107" s="41"/>
      <c r="L107" s="41"/>
      <c r="M107" s="41"/>
      <c r="N107" s="59">
        <f>N105*(1+Q107)/(Q108-Q107)</f>
        <v>10647115384.096701</v>
      </c>
      <c r="O107" s="45" t="s">
        <v>148</v>
      </c>
      <c r="P107" s="46" t="s">
        <v>149</v>
      </c>
      <c r="Q107" s="47">
        <v>2.5000000000000001E-2</v>
      </c>
    </row>
    <row r="108" spans="1:21" ht="19">
      <c r="J108" s="44">
        <f t="shared" ref="J108:L108" si="25">J107+J106</f>
        <v>-24701775.373937402</v>
      </c>
      <c r="K108" s="44">
        <f t="shared" si="25"/>
        <v>-30185896.241439611</v>
      </c>
      <c r="L108" s="44">
        <f t="shared" si="25"/>
        <v>-36887564.480905443</v>
      </c>
      <c r="M108" s="44">
        <f>M107+M106</f>
        <v>-45077091.713612251</v>
      </c>
      <c r="N108" s="59">
        <f>N107+N105</f>
        <v>11260915384.096701</v>
      </c>
      <c r="O108" s="45" t="s">
        <v>144</v>
      </c>
      <c r="P108" s="48" t="s">
        <v>150</v>
      </c>
      <c r="Q108" s="49">
        <f>Q105</f>
        <v>8.409065294246143E-2</v>
      </c>
    </row>
    <row r="109" spans="1:21" ht="19">
      <c r="J109" s="71" t="s">
        <v>151</v>
      </c>
      <c r="K109" s="72"/>
    </row>
    <row r="110" spans="1:21" ht="20">
      <c r="J110" s="50" t="s">
        <v>152</v>
      </c>
      <c r="K110" s="38">
        <f>NPV(Q108,J108,K108,L108,M108,N108)</f>
        <v>7410423971.1183834</v>
      </c>
    </row>
    <row r="111" spans="1:21" ht="20">
      <c r="J111" s="50" t="s">
        <v>153</v>
      </c>
      <c r="K111" s="38">
        <f>I40</f>
        <v>1836630000</v>
      </c>
    </row>
    <row r="112" spans="1:21" ht="20">
      <c r="J112" s="50" t="s">
        <v>140</v>
      </c>
      <c r="K112" s="38">
        <f>Q99</f>
        <v>1216579000</v>
      </c>
    </row>
    <row r="113" spans="10:11" ht="20">
      <c r="J113" s="50" t="s">
        <v>154</v>
      </c>
      <c r="K113" s="38">
        <f>K110+K111-K112</f>
        <v>8030474971.1183834</v>
      </c>
    </row>
    <row r="114" spans="10:11" ht="20">
      <c r="J114" s="50" t="s">
        <v>159</v>
      </c>
      <c r="K114" s="51" cm="1">
        <f t="array" ref="K114">_FV(A1,"Shares outstanding",TRUE)</f>
        <v>70581380</v>
      </c>
    </row>
    <row r="115" spans="10:11" ht="20">
      <c r="J115" s="52" t="s">
        <v>155</v>
      </c>
      <c r="K115" s="57">
        <f>K113/K114</f>
        <v>113.77611164755326</v>
      </c>
    </row>
    <row r="116" spans="10:11" ht="20">
      <c r="J116" s="50" t="s">
        <v>156</v>
      </c>
      <c r="K116" s="53" cm="1">
        <f t="array" ref="K116">_FV(A1,"Price")</f>
        <v>388.36</v>
      </c>
    </row>
    <row r="117" spans="10:11" ht="20">
      <c r="J117" s="54" t="s">
        <v>157</v>
      </c>
      <c r="K117" s="55">
        <f>K115/K116-1</f>
        <v>-0.70703442257814075</v>
      </c>
    </row>
    <row r="118" spans="10:11" ht="20">
      <c r="J118" s="54" t="s">
        <v>158</v>
      </c>
      <c r="K118" s="56" t="str">
        <f>IF(K115&gt;K116,"BUY","SELL")</f>
        <v>SELL</v>
      </c>
    </row>
  </sheetData>
  <mergeCells count="6">
    <mergeCell ref="J109:K109"/>
    <mergeCell ref="P83:Q83"/>
    <mergeCell ref="P84:Q84"/>
    <mergeCell ref="P93:Q93"/>
    <mergeCell ref="P98:Q98"/>
    <mergeCell ref="P104:Q104"/>
  </mergeCells>
  <hyperlinks>
    <hyperlink ref="A1" r:id="rId1" tooltip="https://roic.ai/company/MDB" display="ROIC.AI | MDB"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www.sec.gov/Archives/edgar/data/1441816/000144181618000028/0001441816-18-000028-index.html" xr:uid="{00000000-0004-0000-0000-000007000000}"/>
    <hyperlink ref="D74" r:id="rId7" tooltip="https://www.sec.gov/Archives/edgar/data/1441816/000144181618000028/0001441816-18-000028-index.html" xr:uid="{00000000-0004-0000-0000-000008000000}"/>
    <hyperlink ref="E36" r:id="rId8" tooltip="https://www.sec.gov/Archives/edgar/data/1441816/000144181619000067/0001441816-19-000067-index.html" xr:uid="{00000000-0004-0000-0000-00000A000000}"/>
    <hyperlink ref="E74" r:id="rId9" tooltip="https://www.sec.gov/Archives/edgar/data/1441816/000144181619000067/0001441816-19-000067-index.html" xr:uid="{00000000-0004-0000-0000-00000B000000}"/>
    <hyperlink ref="F36" r:id="rId10" tooltip="https://www.sec.gov/Archives/edgar/data/1441816/000144181620000067/0001441816-20-000067-index.html" xr:uid="{00000000-0004-0000-0000-00000D000000}"/>
    <hyperlink ref="F74" r:id="rId11" tooltip="https://www.sec.gov/Archives/edgar/data/1441816/000144181620000067/0001441816-20-000067-index.html" xr:uid="{00000000-0004-0000-0000-00000E000000}"/>
    <hyperlink ref="G36" r:id="rId12" tooltip="https://www.sec.gov/Archives/edgar/data/1441816/000144181621000051/0001441816-21-000051-index.htm" xr:uid="{00000000-0004-0000-0000-000010000000}"/>
    <hyperlink ref="G74" r:id="rId13" tooltip="https://www.sec.gov/Archives/edgar/data/1441816/000144181621000051/0001441816-21-000051-index.htm" xr:uid="{00000000-0004-0000-0000-000011000000}"/>
    <hyperlink ref="H36" r:id="rId14" tooltip="https://www.sec.gov/Archives/edgar/data/1441816/000144181622000059/0001441816-22-000059-index.htm" xr:uid="{00000000-0004-0000-0000-000013000000}"/>
    <hyperlink ref="H74" r:id="rId15" tooltip="https://www.sec.gov/Archives/edgar/data/1441816/000144181622000059/0001441816-22-000059-index.htm" xr:uid="{00000000-0004-0000-0000-000014000000}"/>
    <hyperlink ref="I36" r:id="rId16" tooltip="https://www.sec.gov/Archives/edgar/data/1441816/000144181622000059/0001441816-22-000059-index.htm" xr:uid="{5A771ABC-18CB-284F-B64C-A5C8A01F946C}"/>
    <hyperlink ref="J1" r:id="rId17" display="https://finbox.com/NASDAQGM:MDB/explorer/revenue_proj" xr:uid="{1ADFDDA7-D30E-E746-A67F-D3A291AA635E}"/>
  </hyperlinks>
  <pageMargins left="0.7" right="0.7" top="0.75" bottom="0.75" header="0.3" footer="0.3"/>
  <drawing r:id="rId18"/>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2023-01-12T06:12:36Z</dcterms:created>
  <dcterms:modified xsi:type="dcterms:W3CDTF">2023-06-23T11:49:20Z</dcterms:modified>
</cp:coreProperties>
</file>