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9756C29-EE67-074C-9638-D0C839CA5BEE}"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1" l="1"/>
  <c r="C13" i="1"/>
  <c r="D13" i="1"/>
  <c r="E13" i="1"/>
  <c r="F13" i="1"/>
  <c r="G13" i="1"/>
  <c r="H13" i="1"/>
  <c r="I13" i="1"/>
  <c r="J13" i="1"/>
  <c r="K13" i="1"/>
  <c r="L13" i="1"/>
  <c r="M13" i="1"/>
  <c r="N13" i="1"/>
  <c r="T13" i="1"/>
  <c r="U13" i="1"/>
  <c r="V13" i="1"/>
  <c r="W13" i="1"/>
  <c r="P114" i="1"/>
  <c r="P105" i="1"/>
  <c r="Q105" i="1" s="1"/>
  <c r="R105" i="1" s="1"/>
  <c r="S105" i="1" s="1"/>
  <c r="O105" i="1"/>
  <c r="O108" i="1" l="1"/>
  <c r="P108" i="1"/>
  <c r="Q108" i="1"/>
  <c r="R108" i="1"/>
  <c r="P116" i="1" a="1"/>
  <c r="P116" i="1" s="1"/>
  <c r="V101" i="1" a="1"/>
  <c r="V101" i="1" s="1"/>
  <c r="V95" i="1" a="1"/>
  <c r="V95" i="1" s="1"/>
  <c r="C105" i="1"/>
  <c r="D105" i="1"/>
  <c r="E105" i="1"/>
  <c r="F105" i="1"/>
  <c r="G105" i="1"/>
  <c r="H105" i="1"/>
  <c r="I105" i="1"/>
  <c r="J105" i="1"/>
  <c r="K105" i="1"/>
  <c r="L105" i="1"/>
  <c r="M105" i="1"/>
  <c r="N105" i="1"/>
  <c r="W22" i="1" l="1"/>
  <c r="V22" i="1"/>
  <c r="P111" i="1"/>
  <c r="V94" i="1"/>
  <c r="V91" i="1"/>
  <c r="V90" i="1"/>
  <c r="V89" i="1"/>
  <c r="V87" i="1"/>
  <c r="V86" i="1"/>
  <c r="V99" i="1" s="1"/>
  <c r="V85" i="1"/>
  <c r="S30" i="1"/>
  <c r="R30" i="1"/>
  <c r="Q30" i="1"/>
  <c r="P30" i="1"/>
  <c r="O30" i="1"/>
  <c r="S29" i="1"/>
  <c r="R29" i="1"/>
  <c r="Q29" i="1"/>
  <c r="P29" i="1"/>
  <c r="O29" i="1"/>
  <c r="S21" i="1"/>
  <c r="R21" i="1"/>
  <c r="Q21" i="1"/>
  <c r="P21" i="1"/>
  <c r="O21" i="1"/>
  <c r="S20" i="1"/>
  <c r="R20" i="1"/>
  <c r="Q20" i="1"/>
  <c r="P20" i="1"/>
  <c r="O20" i="1"/>
  <c r="T19" i="1"/>
  <c r="T16" i="1"/>
  <c r="W10" i="1"/>
  <c r="V10" i="1"/>
  <c r="U10" i="1"/>
  <c r="T10" i="1"/>
  <c r="W7" i="1"/>
  <c r="V7" i="1"/>
  <c r="U7" i="1"/>
  <c r="T7" i="1"/>
  <c r="W4" i="1"/>
  <c r="V4" i="1"/>
  <c r="U4" i="1"/>
  <c r="T4" i="1"/>
  <c r="S4" i="1"/>
  <c r="R4" i="1"/>
  <c r="Q4" i="1"/>
  <c r="P4" i="1"/>
  <c r="O4" i="1"/>
  <c r="V106" i="1" s="1"/>
  <c r="N106" i="1"/>
  <c r="M106" i="1"/>
  <c r="L106" i="1"/>
  <c r="K106" i="1"/>
  <c r="J106" i="1"/>
  <c r="I106" i="1"/>
  <c r="H106" i="1"/>
  <c r="G106" i="1"/>
  <c r="F106" i="1"/>
  <c r="E106" i="1"/>
  <c r="D106" i="1"/>
  <c r="C106"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9" i="1"/>
  <c r="M9" i="1"/>
  <c r="L9" i="1"/>
  <c r="K9" i="1"/>
  <c r="J9" i="1"/>
  <c r="I9" i="1"/>
  <c r="H9" i="1"/>
  <c r="G9" i="1"/>
  <c r="F9" i="1"/>
  <c r="E9" i="1"/>
  <c r="D9" i="1"/>
  <c r="C9" i="1"/>
  <c r="B9" i="1"/>
  <c r="N4" i="1"/>
  <c r="M4" i="1"/>
  <c r="L4" i="1"/>
  <c r="K4" i="1"/>
  <c r="J4" i="1"/>
  <c r="I4" i="1"/>
  <c r="H4" i="1"/>
  <c r="G4" i="1"/>
  <c r="F4" i="1"/>
  <c r="E4" i="1"/>
  <c r="D4" i="1"/>
  <c r="C4" i="1"/>
  <c r="V97" i="1" l="1"/>
  <c r="V16" i="1"/>
  <c r="W16" i="1"/>
  <c r="U16" i="1"/>
  <c r="W19" i="1"/>
  <c r="V19" i="1"/>
  <c r="U19" i="1"/>
  <c r="V103" i="1"/>
  <c r="V102" i="1" s="1"/>
  <c r="P112" i="1"/>
  <c r="V88" i="1"/>
  <c r="V92" i="1" s="1"/>
  <c r="V100" i="1" l="1"/>
  <c r="V105" i="1" s="1"/>
  <c r="V108" i="1" s="1"/>
  <c r="S107" i="1" s="1"/>
  <c r="S108" i="1" s="1"/>
  <c r="P110" i="1" l="1"/>
  <c r="P113" i="1" s="1"/>
  <c r="P115" i="1" s="1"/>
  <c r="P118" i="1" l="1"/>
  <c r="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<sst xmlns="http://schemas.openxmlformats.org/spreadsheetml/2006/main" count="400" uniqueCount="167">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</sst>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quot;$&quot;#,##0"/>
    <numFmt numFmtId="169" formatCode="&quot;$&quot;#,##0.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8" fontId="12" fillId="6" borderId="10" xfId="0" applyNumberFormat="1" applyFont="1" applyFill="1" applyBorder="1"/>
    <xf numFmtId="169"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164" fontId="1" fillId="5"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 fillId="6" borderId="14" xfId="0" applyFont="1" applyFill="1" applyBorder="1" applyAlignment="1">
      <alignment horizontal="center"/>
    </xf>
    <xf numFmtId="0" fontId="1" fillId="6" borderId="15"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ALSN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1813257366833921"/>
          <c:w val="0.86711258278145698"/>
          <c:h val="0.730747392834344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1926300000</c:v>
                </c:pt>
                <c:pt idx="1">
                  <c:v>2162800000</c:v>
                </c:pt>
                <c:pt idx="2">
                  <c:v>2141800000</c:v>
                </c:pt>
                <c:pt idx="3">
                  <c:v>1926800000</c:v>
                </c:pt>
                <c:pt idx="4">
                  <c:v>2127400000</c:v>
                </c:pt>
                <c:pt idx="5">
                  <c:v>1985800000</c:v>
                </c:pt>
                <c:pt idx="6">
                  <c:v>1840200000</c:v>
                </c:pt>
                <c:pt idx="7">
                  <c:v>2262000000</c:v>
                </c:pt>
                <c:pt idx="8">
                  <c:v>2713000000</c:v>
                </c:pt>
                <c:pt idx="9">
                  <c:v>2698000000</c:v>
                </c:pt>
                <c:pt idx="10">
                  <c:v>2081000000</c:v>
                </c:pt>
                <c:pt idx="11">
                  <c:v>2402000000</c:v>
                </c:pt>
                <c:pt idx="12">
                  <c:v>2769000000</c:v>
                </c:pt>
              </c:numCache>
            </c:numRef>
          </c:val>
          <c:extLst>
            <c:ext xmlns:c16="http://schemas.microsoft.com/office/drawing/2014/chart" uri="{C3380CC4-5D6E-409C-BE32-E72D297353CC}">
              <c16:uniqueId val="{00000000-EA8B-AC42-A024-360D234A023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1'!$B$28:$N$28</c:f>
              <c:numCache>
                <c:formatCode>#,###,,;\(#,###,,\);\ \-\ \-</c:formatCode>
                <c:ptCount val="13"/>
                <c:pt idx="0">
                  <c:v>29600000</c:v>
                </c:pt>
                <c:pt idx="1">
                  <c:v>103000000</c:v>
                </c:pt>
                <c:pt idx="2">
                  <c:v>514200000</c:v>
                </c:pt>
                <c:pt idx="3">
                  <c:v>165400000</c:v>
                </c:pt>
                <c:pt idx="4">
                  <c:v>228600000</c:v>
                </c:pt>
                <c:pt idx="5">
                  <c:v>182300000</c:v>
                </c:pt>
                <c:pt idx="6">
                  <c:v>214900000</c:v>
                </c:pt>
                <c:pt idx="7">
                  <c:v>504000000</c:v>
                </c:pt>
                <c:pt idx="8">
                  <c:v>639000000</c:v>
                </c:pt>
                <c:pt idx="9">
                  <c:v>604000000</c:v>
                </c:pt>
                <c:pt idx="10">
                  <c:v>299000000</c:v>
                </c:pt>
                <c:pt idx="11">
                  <c:v>442000000</c:v>
                </c:pt>
                <c:pt idx="12">
                  <c:v>531000000</c:v>
                </c:pt>
              </c:numCache>
            </c:numRef>
          </c:val>
          <c:extLst>
            <c:ext xmlns:c16="http://schemas.microsoft.com/office/drawing/2014/chart" uri="{C3380CC4-5D6E-409C-BE32-E72D297353CC}">
              <c16:uniqueId val="{00000001-EA8B-AC42-A024-360D234A023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1'!$B$107:$N$107</c:f>
              <c:numCache>
                <c:formatCode>#,###,,;\(#,###,,\);\ \-\ \-</c:formatCode>
                <c:ptCount val="13"/>
                <c:pt idx="0">
                  <c:v>388900000</c:v>
                </c:pt>
                <c:pt idx="1">
                  <c:v>372300000</c:v>
                </c:pt>
                <c:pt idx="2">
                  <c:v>497500000</c:v>
                </c:pt>
                <c:pt idx="3">
                  <c:v>453500000</c:v>
                </c:pt>
                <c:pt idx="4">
                  <c:v>556900000</c:v>
                </c:pt>
                <c:pt idx="5">
                  <c:v>579900000</c:v>
                </c:pt>
                <c:pt idx="6">
                  <c:v>590800000</c:v>
                </c:pt>
                <c:pt idx="7">
                  <c:v>658000000</c:v>
                </c:pt>
                <c:pt idx="8">
                  <c:v>837000000</c:v>
                </c:pt>
                <c:pt idx="9">
                  <c:v>847000000</c:v>
                </c:pt>
                <c:pt idx="10">
                  <c:v>446000000</c:v>
                </c:pt>
                <c:pt idx="11">
                  <c:v>460000000</c:v>
                </c:pt>
                <c:pt idx="12">
                  <c:v>657000000</c:v>
                </c:pt>
              </c:numCache>
            </c:numRef>
          </c:val>
          <c:extLst>
            <c:ext xmlns:c16="http://schemas.microsoft.com/office/drawing/2014/chart" uri="{C3380CC4-5D6E-409C-BE32-E72D297353CC}">
              <c16:uniqueId val="{00000002-EA8B-AC42-A024-360D234A023E}"/>
            </c:ext>
          </c:extLst>
        </c:ser>
        <c:dLbls>
          <c:showLegendKey val="0"/>
          <c:showVal val="0"/>
          <c:showCatName val="0"/>
          <c:showSerName val="0"/>
          <c:showPercent val="0"/>
          <c:showBubbleSize val="0"/>
        </c:dLbls>
        <c:gapWidth val="100"/>
        <c:overlap val="-24"/>
        <c:axId val="1104900368"/>
        <c:axId val="1104301104"/>
      </c:barChart>
      <c:catAx>
        <c:axId val="11049003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4301104"/>
        <c:crosses val="autoZero"/>
        <c:auto val="1"/>
        <c:lblAlgn val="ctr"/>
        <c:lblOffset val="100"/>
        <c:noMultiLvlLbl val="0"/>
      </c:catAx>
      <c:valAx>
        <c:axId val="110430110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4900368"/>
        <c:crosses val="autoZero"/>
        <c:crossBetween val="between"/>
      </c:valAx>
      <c:spPr>
        <a:noFill/>
        <a:ln>
          <a:noFill/>
        </a:ln>
        <a:effectLst/>
      </c:spPr>
    </c:plotArea>
    <c:legend>
      <c:legendPos val="b"/>
      <c:layout>
        <c:manualLayout>
          <c:xMode val="edge"/>
          <c:yMode val="edge"/>
          <c:x val="0.34152557751473117"/>
          <c:y val="0.91732642655602037"/>
          <c:w val="0.31429983834802105"/>
          <c:h val="4.912342210034136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9071</xdr:colOff>
      <xdr:row>108</xdr:row>
      <xdr:rowOff>16327</xdr:rowOff>
    </xdr:from>
    <xdr:to>
      <xdr:col>22</xdr:col>
      <xdr:colOff>18143</xdr:colOff>
      <xdr:row>131</xdr:row>
      <xdr:rowOff>199570</xdr:rowOff>
    </xdr:to>
    <xdr:graphicFrame macro="">
      <xdr:nvGraphicFramePr>
        <xdr:cNvPr id="2" name="Chart 1">
          <a:extLst>
            <a:ext uri="{FF2B5EF4-FFF2-40B4-BE49-F238E27FC236}">
              <a16:creationId xmlns:a16="http://schemas.microsoft.com/office/drawing/2014/main" id="{87FFE720-3E50-6136-279A-D9F6C89506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3.7280000000000001E-2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https://www.bing.com/financeapi/forcetrigger?t=a1ncgh&amp;q=XNYS%3aALSN&amp;form=skydnc</v>
    <v>Learn more on Bing</v>
  </rv>
  <rv s="1">
    <v>0</v>
    <v>ALLISON TRANSMISSION HOLDINGS, INC. (XNYS:ALSN)</v>
    <v>2</v>
    <v>3</v>
    <v>Finance</v>
    <v>4</v>
    <v>en-US</v>
    <v>a1ncgh</v>
    <v>268435456</v>
    <v>1</v>
    <v>Powered by Refinitiv</v>
    <v>54.82</v>
    <v>32.630000000000003</v>
    <v>0.998</v>
    <v>0.55000000000000004</v>
    <v>1.0273000000000001E-2</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It has manufacturing facilities in the United States, Hungary and India, as well as global engineering resources, including electrification engineering centers in Indianapolis, Indiana, Auburn Hills, Michigan and London in the United Kingdom. The Company also has approximately 1,400 independent distributor and dealer locations worldwide.</v>
    <v>3500</v>
    <v>New York Stock Exchange</v>
    <v>XNYS</v>
    <v>XNYS</v>
    <v>One Allison Way, INDIANAPOLIS, IN, 46222 US</v>
    <v>54.16</v>
    <v>Machinery, Equipment &amp; Components</v>
    <v>Stock</v>
    <v>45099.958333367969</v>
    <v>0</v>
    <v>53.41</v>
    <v>4925177390</v>
    <v>ALLISON TRANSMISSION HOLDINGS, INC.</v>
    <v>ALLISON TRANSMISSION HOLDINGS, INC.</v>
    <v>53.54</v>
    <v>8.9075000000000006</v>
    <v>53.54</v>
    <v>54.09</v>
    <v>91055230</v>
    <v>ALSN</v>
    <v>ALLISON TRANSMISSION HOLDINGS, INC. (XNYS:ALSN)</v>
    <v>626243</v>
    <v>781144</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11207/000119312514063895/d642995d10k.htm" TargetMode="External"/><Relationship Id="rId13" Type="http://schemas.openxmlformats.org/officeDocument/2006/relationships/hyperlink" Target="https://www.sec.gov/Archives/edgar/data/1411207/000119312516469168/0001193125-16-469168-index.html" TargetMode="External"/><Relationship Id="rId18" Type="http://schemas.openxmlformats.org/officeDocument/2006/relationships/hyperlink" Target="https://www.sec.gov/Archives/edgar/data/1411207/000141120719000050/0001411207-19-000050-index.html" TargetMode="External"/><Relationship Id="rId26" Type="http://schemas.openxmlformats.org/officeDocument/2006/relationships/hyperlink" Target="https://www.sec.gov/Archives/edgar/data/1411207/000095017023002967/0000950170-23-00296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11207/000156459020007355/0001564590-20-007355-index.html" TargetMode="External"/><Relationship Id="rId7" Type="http://schemas.openxmlformats.org/officeDocument/2006/relationships/hyperlink" Target="https://www.sec.gov/Archives/edgar/data/1411207/000119312513084136/0001193125-13-084136-index.html" TargetMode="External"/><Relationship Id="rId12" Type="http://schemas.openxmlformats.org/officeDocument/2006/relationships/hyperlink" Target="https://www.sec.gov/Archives/edgar/data/1411207/000119312516469168/0001193125-16-469168-index.html" TargetMode="External"/><Relationship Id="rId17" Type="http://schemas.openxmlformats.org/officeDocument/2006/relationships/hyperlink" Target="https://www.sec.gov/Archives/edgar/data/1411207/000119312518047233/0001193125-18-047233-index.html" TargetMode="External"/><Relationship Id="rId25" Type="http://schemas.openxmlformats.org/officeDocument/2006/relationships/hyperlink" Target="https://www.sec.gov/Archives/edgar/data/1411207/000095017022001427/0000950170-22-00142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11207/000119312518047233/0001193125-18-047233-index.html" TargetMode="External"/><Relationship Id="rId20" Type="http://schemas.openxmlformats.org/officeDocument/2006/relationships/hyperlink" Target="https://www.sec.gov/Archives/edgar/data/1411207/000156459020007355/0001564590-20-007355-index.html" TargetMode="External"/><Relationship Id="rId29" Type="http://schemas.openxmlformats.org/officeDocument/2006/relationships/hyperlink" Target="https://finbox.com/NYSE:ALSN/explorer/fcf_unlev_proj" TargetMode="External"/><Relationship Id="rId1" Type="http://schemas.openxmlformats.org/officeDocument/2006/relationships/hyperlink" Target="https://roic.ai/company/ALSN" TargetMode="External"/><Relationship Id="rId6" Type="http://schemas.openxmlformats.org/officeDocument/2006/relationships/hyperlink" Target="https://www.sec.gov/Archives/edgar/data/1411207/000119312513084136/0001193125-13-084136-index.html" TargetMode="External"/><Relationship Id="rId11" Type="http://schemas.openxmlformats.org/officeDocument/2006/relationships/hyperlink" Target="https://www.sec.gov/Archives/edgar/data/1411207/000119312515055034/d825977d10k.htm" TargetMode="External"/><Relationship Id="rId24" Type="http://schemas.openxmlformats.org/officeDocument/2006/relationships/hyperlink" Target="https://www.sec.gov/Archives/edgar/data/1411207/000095017022001427/0000950170-22-00142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11207/000119312517056079/0001193125-17-056079-index.html" TargetMode="External"/><Relationship Id="rId23" Type="http://schemas.openxmlformats.org/officeDocument/2006/relationships/hyperlink" Target="https://www.sec.gov/Archives/edgar/data/1411207/000156459021006709/0001564590-21-006709-index.htm" TargetMode="External"/><Relationship Id="rId28" Type="http://schemas.openxmlformats.org/officeDocument/2006/relationships/hyperlink" Target="https://finbox.com/NYSE:ALSN/explorer/revenue_proj" TargetMode="External"/><Relationship Id="rId10" Type="http://schemas.openxmlformats.org/officeDocument/2006/relationships/hyperlink" Target="https://www.sec.gov/Archives/edgar/data/1411207/000119312515055034/d825977d10k.htm" TargetMode="External"/><Relationship Id="rId19" Type="http://schemas.openxmlformats.org/officeDocument/2006/relationships/hyperlink" Target="https://www.sec.gov/Archives/edgar/data/1411207/000141120719000050/0001411207-19-000050-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11207/000119312514063895/d642995d10k.htm" TargetMode="External"/><Relationship Id="rId14" Type="http://schemas.openxmlformats.org/officeDocument/2006/relationships/hyperlink" Target="https://www.sec.gov/Archives/edgar/data/1411207/000119312517056079/0001193125-17-056079-index.html" TargetMode="External"/><Relationship Id="rId22" Type="http://schemas.openxmlformats.org/officeDocument/2006/relationships/hyperlink" Target="https://www.sec.gov/Archives/edgar/data/1411207/000156459021006709/0001564590-21-006709-index.htm" TargetMode="External"/><Relationship Id="rId27" Type="http://schemas.openxmlformats.org/officeDocument/2006/relationships/hyperlink" Target="https://www.sec.gov/Archives/edgar/data/1411207/000095017023002967/0000950170-23-002967-index.htm"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
  <sheetViews>
    <sheetView tabSelected="1" zoomScale="80" zoomScaleNormal="80" workbookViewId="0">
      <pane xSplit="1" ySplit="1" topLeftCell="K2" activePane="bottomRight" state="frozen"/>
      <selection pane="topRight"/>
      <selection pane="bottomLeft"/>
      <selection pane="bottomRight" activeCell="O118" sqref="O1:W118"/>
    </sheetView>
  </sheetViews>
  <sheetFormatPr baseColWidth="10" defaultRowHeight="16" x14ac:dyDescent="0.2"/>
  <cols>
    <col min="1" max="1" width="50" customWidth="1"/>
    <col min="2" max="14" width="15" customWidth="1"/>
    <col min="15" max="23" width="20.83203125" customWidth="1"/>
  </cols>
  <sheetData>
    <row r="1" spans="1:23"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33">
        <v>2023</v>
      </c>
      <c r="P1" s="33">
        <v>2024</v>
      </c>
      <c r="Q1" s="33">
        <v>2025</v>
      </c>
      <c r="R1" s="33">
        <v>2026</v>
      </c>
      <c r="S1" s="33">
        <v>2027</v>
      </c>
    </row>
    <row r="2" spans="1:2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c r="T2" s="9"/>
      <c r="U2" s="9"/>
      <c r="V2" s="9"/>
      <c r="W2" s="9"/>
    </row>
    <row r="3" spans="1:23" ht="40" x14ac:dyDescent="0.25">
      <c r="A3" s="5" t="s">
        <v>1</v>
      </c>
      <c r="B3" s="1">
        <v>1926300000</v>
      </c>
      <c r="C3" s="1">
        <v>2162800000</v>
      </c>
      <c r="D3" s="1">
        <v>2141800000</v>
      </c>
      <c r="E3" s="1">
        <v>1926800000</v>
      </c>
      <c r="F3" s="1">
        <v>2127400000</v>
      </c>
      <c r="G3" s="1">
        <v>1985800000</v>
      </c>
      <c r="H3" s="1">
        <v>1840200000</v>
      </c>
      <c r="I3" s="1">
        <v>2262000000</v>
      </c>
      <c r="J3" s="1">
        <v>2713000000</v>
      </c>
      <c r="K3" s="1">
        <v>2698000000</v>
      </c>
      <c r="L3" s="1">
        <v>2081000000</v>
      </c>
      <c r="M3" s="1">
        <v>2402000000</v>
      </c>
      <c r="N3" s="1">
        <v>2769000000</v>
      </c>
      <c r="O3" s="34">
        <v>2964000000</v>
      </c>
      <c r="P3" s="34">
        <v>2992000000</v>
      </c>
      <c r="Q3" s="34">
        <v>3032000000</v>
      </c>
      <c r="R3" s="34">
        <v>3278000000</v>
      </c>
      <c r="S3" s="34">
        <v>3346000000</v>
      </c>
      <c r="T3" s="19" t="s">
        <v>113</v>
      </c>
      <c r="U3" s="20" t="s">
        <v>114</v>
      </c>
      <c r="V3" s="20" t="s">
        <v>115</v>
      </c>
      <c r="W3" s="20" t="s">
        <v>116</v>
      </c>
    </row>
    <row r="4" spans="1:23" ht="19" x14ac:dyDescent="0.25">
      <c r="A4" s="15" t="s">
        <v>94</v>
      </c>
      <c r="B4" s="1"/>
      <c r="C4" s="16">
        <f>(C3/B3)-1</f>
        <v>0.12277423038986668</v>
      </c>
      <c r="D4" s="16">
        <f>(D3/C3)-1</f>
        <v>-9.7096356574810638E-3</v>
      </c>
      <c r="E4" s="16">
        <f>(E3/D3)-1</f>
        <v>-0.10038285554206738</v>
      </c>
      <c r="F4" s="16">
        <f t="shared" ref="F4:N4" si="0">(F3/E3)-1</f>
        <v>0.10411044218393184</v>
      </c>
      <c r="G4" s="16">
        <f t="shared" si="0"/>
        <v>-6.6560120334680839E-2</v>
      </c>
      <c r="H4" s="17">
        <f t="shared" si="0"/>
        <v>-7.3320576090240674E-2</v>
      </c>
      <c r="I4" s="17">
        <f t="shared" si="0"/>
        <v>0.22921421584610369</v>
      </c>
      <c r="J4" s="17">
        <f t="shared" si="0"/>
        <v>0.19938107869142363</v>
      </c>
      <c r="K4" s="17">
        <f t="shared" si="0"/>
        <v>-5.5289347585698589E-3</v>
      </c>
      <c r="L4" s="17">
        <f t="shared" si="0"/>
        <v>-0.22868791697553748</v>
      </c>
      <c r="M4" s="17">
        <f t="shared" si="0"/>
        <v>0.15425276309466596</v>
      </c>
      <c r="N4" s="17">
        <f t="shared" si="0"/>
        <v>0.15278934221482099</v>
      </c>
      <c r="O4" s="17">
        <f>(O3/N3)-1</f>
        <v>7.0422535211267512E-2</v>
      </c>
      <c r="P4" s="17">
        <f t="shared" ref="P4:S4" si="1">(P3/O3)-1</f>
        <v>9.4466936572199511E-3</v>
      </c>
      <c r="Q4" s="17">
        <f t="shared" si="1"/>
        <v>1.3368983957219305E-2</v>
      </c>
      <c r="R4" s="17">
        <f t="shared" si="1"/>
        <v>8.1134564643799534E-2</v>
      </c>
      <c r="S4" s="17">
        <f t="shared" si="1"/>
        <v>2.0744356314826184E-2</v>
      </c>
      <c r="T4" s="18">
        <f>(M4+L4+N4)/3</f>
        <v>2.6118062777983158E-2</v>
      </c>
      <c r="U4" s="18">
        <f>(M20+L20+N20)/3</f>
        <v>-7.3091000284688804E-2</v>
      </c>
      <c r="V4" s="18">
        <f>(M29+L29+N29)/3</f>
        <v>5.8217149403782344E-2</v>
      </c>
      <c r="W4" s="18">
        <f>(M106+L106+N106)/3</f>
        <v>-4.5948837198238239E-3</v>
      </c>
    </row>
    <row r="5" spans="1:23" ht="19" x14ac:dyDescent="0.25">
      <c r="A5" s="5" t="s">
        <v>2</v>
      </c>
      <c r="B5" s="1">
        <v>1098100000</v>
      </c>
      <c r="C5" s="1">
        <v>1208300000</v>
      </c>
      <c r="D5" s="1">
        <v>1187500000</v>
      </c>
      <c r="E5" s="1">
        <v>1084900000</v>
      </c>
      <c r="F5" s="1">
        <v>1151500000</v>
      </c>
      <c r="G5" s="1">
        <v>1052000000</v>
      </c>
      <c r="H5" s="1">
        <v>976000000</v>
      </c>
      <c r="I5" s="1">
        <v>1131000000</v>
      </c>
      <c r="J5" s="1">
        <v>1291000000</v>
      </c>
      <c r="K5" s="1">
        <v>1304000000</v>
      </c>
      <c r="L5" s="1">
        <v>1083000000</v>
      </c>
      <c r="M5" s="1">
        <v>1257000000</v>
      </c>
      <c r="N5" s="1">
        <v>1472000000</v>
      </c>
    </row>
    <row r="6" spans="1:23" ht="20" x14ac:dyDescent="0.25">
      <c r="A6" s="6" t="s">
        <v>3</v>
      </c>
      <c r="B6" s="10">
        <v>828200000</v>
      </c>
      <c r="C6" s="10">
        <v>954500000</v>
      </c>
      <c r="D6" s="10">
        <v>954300000</v>
      </c>
      <c r="E6" s="10">
        <v>841900000</v>
      </c>
      <c r="F6" s="10">
        <v>975900000</v>
      </c>
      <c r="G6" s="10">
        <v>933800000</v>
      </c>
      <c r="H6" s="10">
        <v>864200000</v>
      </c>
      <c r="I6" s="10">
        <v>1131000000</v>
      </c>
      <c r="J6" s="10">
        <v>1422000000</v>
      </c>
      <c r="K6" s="10">
        <v>1394000000</v>
      </c>
      <c r="L6" s="10">
        <v>998000000</v>
      </c>
      <c r="M6" s="10">
        <v>1145000000</v>
      </c>
      <c r="N6" s="10">
        <v>1297000000</v>
      </c>
      <c r="T6" s="19" t="s">
        <v>117</v>
      </c>
      <c r="U6" s="20" t="s">
        <v>118</v>
      </c>
      <c r="V6" s="20" t="s">
        <v>119</v>
      </c>
      <c r="W6" s="20" t="s">
        <v>120</v>
      </c>
    </row>
    <row r="7" spans="1:23" ht="19" x14ac:dyDescent="0.25">
      <c r="A7" s="5" t="s">
        <v>4</v>
      </c>
      <c r="B7" s="2">
        <v>0.4299</v>
      </c>
      <c r="C7" s="2">
        <v>0.44130000000000003</v>
      </c>
      <c r="D7" s="2">
        <v>0.4456</v>
      </c>
      <c r="E7" s="2">
        <v>0.43690000000000001</v>
      </c>
      <c r="F7" s="2">
        <v>0.4587</v>
      </c>
      <c r="G7" s="2">
        <v>0.47020000000000001</v>
      </c>
      <c r="H7" s="2">
        <v>0.46960000000000002</v>
      </c>
      <c r="I7" s="2">
        <v>0.5</v>
      </c>
      <c r="J7" s="2">
        <v>0.52410000000000001</v>
      </c>
      <c r="K7" s="2">
        <v>0.51670000000000005</v>
      </c>
      <c r="L7" s="2">
        <v>0.47960000000000003</v>
      </c>
      <c r="M7" s="2">
        <v>0.47670000000000001</v>
      </c>
      <c r="N7" s="2">
        <v>0.46839999999999998</v>
      </c>
      <c r="T7" s="18">
        <f>N7</f>
        <v>0.46839999999999998</v>
      </c>
      <c r="U7" s="21">
        <f>N21</f>
        <v>0.27560000000000001</v>
      </c>
      <c r="V7" s="21">
        <f>N30</f>
        <v>0.1918</v>
      </c>
      <c r="W7" s="21">
        <f>N107/N3</f>
        <v>0.23726977248104009</v>
      </c>
    </row>
    <row r="8" spans="1:23" ht="19" x14ac:dyDescent="0.25">
      <c r="A8" s="5" t="s">
        <v>5</v>
      </c>
      <c r="B8" s="1">
        <v>101500000</v>
      </c>
      <c r="C8" s="1">
        <v>116400000</v>
      </c>
      <c r="D8" s="1">
        <v>115100000</v>
      </c>
      <c r="E8" s="1">
        <v>97100000</v>
      </c>
      <c r="F8" s="1">
        <v>103800000</v>
      </c>
      <c r="G8" s="1">
        <v>92500000</v>
      </c>
      <c r="H8" s="1">
        <v>88800000</v>
      </c>
      <c r="I8" s="1">
        <v>105000000</v>
      </c>
      <c r="J8" s="1">
        <v>131000000</v>
      </c>
      <c r="K8" s="1">
        <v>154000000</v>
      </c>
      <c r="L8" s="1">
        <v>147000000</v>
      </c>
      <c r="M8" s="1">
        <v>171000000</v>
      </c>
      <c r="N8" s="1">
        <v>185000000</v>
      </c>
    </row>
    <row r="9" spans="1:23" ht="19" customHeight="1" x14ac:dyDescent="0.25">
      <c r="A9" s="15" t="s">
        <v>95</v>
      </c>
      <c r="B9" s="16">
        <f>B8/B3</f>
        <v>5.2691688729689039E-2</v>
      </c>
      <c r="C9" s="16">
        <f t="shared" ref="C9:N9" si="2">C8/C3</f>
        <v>5.3819123358609208E-2</v>
      </c>
      <c r="D9" s="16">
        <f t="shared" si="2"/>
        <v>5.3739844990195164E-2</v>
      </c>
      <c r="E9" s="16">
        <f t="shared" si="2"/>
        <v>5.0394436371185382E-2</v>
      </c>
      <c r="F9" s="16">
        <f t="shared" si="2"/>
        <v>4.879195261821942E-2</v>
      </c>
      <c r="G9" s="16">
        <f t="shared" si="2"/>
        <v>4.6580723134253196E-2</v>
      </c>
      <c r="H9" s="16">
        <f t="shared" si="2"/>
        <v>4.8255624388653405E-2</v>
      </c>
      <c r="I9" s="16">
        <f t="shared" si="2"/>
        <v>4.6419098143236075E-2</v>
      </c>
      <c r="J9" s="16">
        <f t="shared" si="2"/>
        <v>4.8286030224843346E-2</v>
      </c>
      <c r="K9" s="16">
        <f t="shared" si="2"/>
        <v>5.7079318013343219E-2</v>
      </c>
      <c r="L9" s="16">
        <f t="shared" si="2"/>
        <v>7.0639115809706873E-2</v>
      </c>
      <c r="M9" s="16">
        <f t="shared" si="2"/>
        <v>7.1190674437968365E-2</v>
      </c>
      <c r="N9" s="16">
        <f t="shared" si="2"/>
        <v>6.6811123149151316E-2</v>
      </c>
      <c r="T9" s="19" t="s">
        <v>96</v>
      </c>
      <c r="U9" s="20" t="s">
        <v>97</v>
      </c>
      <c r="V9" s="20" t="s">
        <v>98</v>
      </c>
      <c r="W9" s="20" t="s">
        <v>99</v>
      </c>
    </row>
    <row r="10" spans="1:23" ht="19" x14ac:dyDescent="0.25">
      <c r="A10" s="5" t="s">
        <v>6</v>
      </c>
      <c r="B10" s="1">
        <v>384900000</v>
      </c>
      <c r="C10" s="1">
        <v>409100000</v>
      </c>
      <c r="D10" s="1">
        <v>419000000</v>
      </c>
      <c r="E10" s="1">
        <v>334900000</v>
      </c>
      <c r="F10" s="1">
        <v>344600000</v>
      </c>
      <c r="G10" s="1">
        <v>317100000</v>
      </c>
      <c r="H10" s="1">
        <v>323900000</v>
      </c>
      <c r="I10" s="1">
        <v>342000000</v>
      </c>
      <c r="J10" s="1">
        <v>364000000</v>
      </c>
      <c r="K10" s="1">
        <v>354000000</v>
      </c>
      <c r="L10" s="1" t="s">
        <v>91</v>
      </c>
      <c r="M10" s="1" t="s">
        <v>91</v>
      </c>
      <c r="N10" s="1" t="s">
        <v>91</v>
      </c>
      <c r="T10" s="18">
        <f>N9</f>
        <v>6.6811123149151316E-2</v>
      </c>
      <c r="U10" s="21">
        <f>N13</f>
        <v>0.11845431563741422</v>
      </c>
      <c r="V10" s="21">
        <f>N80</f>
        <v>6.5005417118093175E-3</v>
      </c>
      <c r="W10" s="21">
        <f>N89</f>
        <v>5.7782592993860599E-2</v>
      </c>
    </row>
    <row r="11" spans="1:23"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row>
    <row r="12" spans="1:23" ht="20" x14ac:dyDescent="0.25">
      <c r="A12" s="5" t="s">
        <v>8</v>
      </c>
      <c r="B12" s="1">
        <v>384900000</v>
      </c>
      <c r="C12" s="1">
        <v>409100000</v>
      </c>
      <c r="D12" s="1">
        <v>419000000</v>
      </c>
      <c r="E12" s="1">
        <v>334900000</v>
      </c>
      <c r="F12" s="1">
        <v>344600000</v>
      </c>
      <c r="G12" s="1">
        <v>317100000</v>
      </c>
      <c r="H12" s="1">
        <v>323900000</v>
      </c>
      <c r="I12" s="1">
        <v>342000000</v>
      </c>
      <c r="J12" s="1">
        <v>364000000</v>
      </c>
      <c r="K12" s="1">
        <v>354000000</v>
      </c>
      <c r="L12" s="1" t="s">
        <v>91</v>
      </c>
      <c r="M12" s="1">
        <v>305000000</v>
      </c>
      <c r="N12" s="1">
        <v>328000000</v>
      </c>
      <c r="T12" s="19" t="s">
        <v>121</v>
      </c>
      <c r="U12" s="20" t="s">
        <v>122</v>
      </c>
      <c r="V12" s="20" t="s">
        <v>123</v>
      </c>
      <c r="W12" s="20" t="s">
        <v>124</v>
      </c>
    </row>
    <row r="13" spans="1:23" ht="19" x14ac:dyDescent="0.25">
      <c r="A13" s="15" t="s">
        <v>100</v>
      </c>
      <c r="B13" s="16">
        <f>B12/B3</f>
        <v>0.19981311322223952</v>
      </c>
      <c r="C13" s="16">
        <f t="shared" ref="C13:N13" si="3">C12/C3</f>
        <v>0.18915294987978545</v>
      </c>
      <c r="D13" s="16">
        <f t="shared" si="3"/>
        <v>0.19562984405640116</v>
      </c>
      <c r="E13" s="16">
        <f t="shared" si="3"/>
        <v>0.1738115009341914</v>
      </c>
      <c r="F13" s="16">
        <f t="shared" si="3"/>
        <v>0.16198176177493653</v>
      </c>
      <c r="G13" s="16">
        <f t="shared" si="3"/>
        <v>0.1596837546580723</v>
      </c>
      <c r="H13" s="16">
        <f t="shared" si="3"/>
        <v>0.17601347679600043</v>
      </c>
      <c r="I13" s="16">
        <f t="shared" si="3"/>
        <v>0.15119363395225463</v>
      </c>
      <c r="J13" s="16">
        <f t="shared" si="3"/>
        <v>0.13416881680796167</v>
      </c>
      <c r="K13" s="16">
        <f t="shared" si="3"/>
        <v>0.13120830244625648</v>
      </c>
      <c r="L13" s="16" t="e">
        <f t="shared" si="3"/>
        <v>#VALUE!</v>
      </c>
      <c r="M13" s="16">
        <f t="shared" si="3"/>
        <v>0.12697751873438801</v>
      </c>
      <c r="N13" s="16">
        <f t="shared" si="3"/>
        <v>0.11845431563741422</v>
      </c>
      <c r="T13" s="18">
        <f>N28/N72</f>
        <v>0.60755148741418763</v>
      </c>
      <c r="U13" s="21">
        <f>N28/N54</f>
        <v>0.11368015414258188</v>
      </c>
      <c r="V13" s="21">
        <f>N22/(N72+N56+N61)</f>
        <v>0.2318840579710145</v>
      </c>
      <c r="W13" s="22">
        <f>N67/N72</f>
        <v>4.3443935926773456</v>
      </c>
    </row>
    <row r="14" spans="1:23" ht="19" x14ac:dyDescent="0.25">
      <c r="A14" s="5" t="s">
        <v>9</v>
      </c>
      <c r="B14" s="1">
        <v>-15400000</v>
      </c>
      <c r="C14" s="1" t="s">
        <v>91</v>
      </c>
      <c r="D14" s="1">
        <v>-11500000</v>
      </c>
      <c r="E14" s="1">
        <v>-5200000</v>
      </c>
      <c r="F14" s="1">
        <v>-2600000</v>
      </c>
      <c r="G14" s="1">
        <v>14000000</v>
      </c>
      <c r="H14" s="1" t="s">
        <v>91</v>
      </c>
      <c r="I14" s="1" t="s">
        <v>91</v>
      </c>
      <c r="J14" s="1" t="s">
        <v>91</v>
      </c>
      <c r="K14" s="1">
        <v>-8000000</v>
      </c>
      <c r="L14" s="1">
        <v>317000000</v>
      </c>
      <c r="M14" s="1" t="s">
        <v>91</v>
      </c>
      <c r="N14" s="1" t="s">
        <v>91</v>
      </c>
    </row>
    <row r="15" spans="1:23" ht="20" x14ac:dyDescent="0.25">
      <c r="A15" s="5" t="s">
        <v>10</v>
      </c>
      <c r="B15" s="1">
        <v>471000000</v>
      </c>
      <c r="C15" s="1">
        <v>525500000</v>
      </c>
      <c r="D15" s="1">
        <v>522600000</v>
      </c>
      <c r="E15" s="1">
        <v>426800000</v>
      </c>
      <c r="F15" s="1">
        <v>445800000</v>
      </c>
      <c r="G15" s="1">
        <v>423600000</v>
      </c>
      <c r="H15" s="1">
        <v>412700000</v>
      </c>
      <c r="I15" s="1">
        <v>447000000</v>
      </c>
      <c r="J15" s="1">
        <v>495000000</v>
      </c>
      <c r="K15" s="1">
        <v>500000000</v>
      </c>
      <c r="L15" s="1">
        <v>464000000</v>
      </c>
      <c r="M15" s="1">
        <v>476000000</v>
      </c>
      <c r="N15" s="1">
        <v>513000000</v>
      </c>
      <c r="T15" s="19" t="s">
        <v>125</v>
      </c>
      <c r="U15" s="20" t="s">
        <v>126</v>
      </c>
      <c r="V15" s="20" t="s">
        <v>127</v>
      </c>
      <c r="W15" s="20" t="s">
        <v>128</v>
      </c>
    </row>
    <row r="16" spans="1:23" ht="19" x14ac:dyDescent="0.25">
      <c r="A16" s="5" t="s">
        <v>11</v>
      </c>
      <c r="B16" s="1">
        <v>1569100000</v>
      </c>
      <c r="C16" s="1">
        <v>1733800000</v>
      </c>
      <c r="D16" s="1">
        <v>1710100000</v>
      </c>
      <c r="E16" s="1">
        <v>1511700000</v>
      </c>
      <c r="F16" s="1">
        <v>1597300000</v>
      </c>
      <c r="G16" s="1">
        <v>1475600000</v>
      </c>
      <c r="H16" s="1">
        <v>1388700000</v>
      </c>
      <c r="I16" s="1">
        <v>1578000000</v>
      </c>
      <c r="J16" s="1">
        <v>1786000000</v>
      </c>
      <c r="K16" s="1">
        <v>1804000000</v>
      </c>
      <c r="L16" s="1">
        <v>1547000000</v>
      </c>
      <c r="M16" s="1">
        <v>1733000000</v>
      </c>
      <c r="N16" s="1">
        <v>1985000000</v>
      </c>
      <c r="T16" s="35">
        <f>(M35+L35+K35+J35+N35)/5</f>
        <v>-5.2174269077332212E-2</v>
      </c>
      <c r="U16" s="36">
        <f>V101/N3</f>
        <v>1.7786845034308414</v>
      </c>
      <c r="V16" s="36">
        <f>V101/N28</f>
        <v>9.275286986817326</v>
      </c>
      <c r="W16" s="37">
        <f>V101/N107</f>
        <v>7.4964648249619481</v>
      </c>
    </row>
    <row r="17" spans="1:23" ht="19" x14ac:dyDescent="0.25">
      <c r="A17" s="5" t="s">
        <v>12</v>
      </c>
      <c r="B17" s="1">
        <v>281000000</v>
      </c>
      <c r="C17" s="1">
        <v>218200000</v>
      </c>
      <c r="D17" s="1">
        <v>152100000</v>
      </c>
      <c r="E17" s="1">
        <v>133700000</v>
      </c>
      <c r="F17" s="1">
        <v>139300000</v>
      </c>
      <c r="G17" s="1">
        <v>140500000</v>
      </c>
      <c r="H17" s="1">
        <v>101600000</v>
      </c>
      <c r="I17" s="1">
        <v>103000000</v>
      </c>
      <c r="J17" s="1">
        <v>121000000</v>
      </c>
      <c r="K17" s="1">
        <v>134000000</v>
      </c>
      <c r="L17" s="1">
        <v>137000000</v>
      </c>
      <c r="M17" s="1">
        <v>116000000</v>
      </c>
      <c r="N17" s="1">
        <v>118000000</v>
      </c>
    </row>
    <row r="18" spans="1:23" ht="20" x14ac:dyDescent="0.25">
      <c r="A18" s="5" t="s">
        <v>13</v>
      </c>
      <c r="B18" s="1">
        <v>253800000</v>
      </c>
      <c r="C18" s="1">
        <v>255700000</v>
      </c>
      <c r="D18" s="1">
        <v>252500000</v>
      </c>
      <c r="E18" s="1">
        <v>204000000</v>
      </c>
      <c r="F18" s="1">
        <v>192600000</v>
      </c>
      <c r="G18" s="1">
        <v>185400000</v>
      </c>
      <c r="H18" s="1">
        <v>175900000</v>
      </c>
      <c r="I18" s="1">
        <v>170000000</v>
      </c>
      <c r="J18" s="1">
        <v>164000000</v>
      </c>
      <c r="K18" s="1">
        <v>167000000</v>
      </c>
      <c r="L18" s="1">
        <v>148000000</v>
      </c>
      <c r="M18" s="1">
        <v>150000000</v>
      </c>
      <c r="N18" s="1">
        <v>155000000</v>
      </c>
      <c r="T18" s="19" t="s">
        <v>129</v>
      </c>
      <c r="U18" s="20" t="s">
        <v>130</v>
      </c>
      <c r="V18" s="20" t="s">
        <v>131</v>
      </c>
      <c r="W18" s="20" t="s">
        <v>132</v>
      </c>
    </row>
    <row r="19" spans="1:23" ht="19" x14ac:dyDescent="0.25">
      <c r="A19" s="6" t="s">
        <v>14</v>
      </c>
      <c r="B19" s="10">
        <v>618100000</v>
      </c>
      <c r="C19" s="10">
        <v>624500000</v>
      </c>
      <c r="D19" s="10">
        <v>620800000</v>
      </c>
      <c r="E19" s="10">
        <v>603800000</v>
      </c>
      <c r="F19" s="10">
        <v>700000000</v>
      </c>
      <c r="G19" s="10">
        <v>614700000</v>
      </c>
      <c r="H19" s="10">
        <v>618800000</v>
      </c>
      <c r="I19" s="10">
        <v>800000000</v>
      </c>
      <c r="J19" s="10">
        <v>1090000000</v>
      </c>
      <c r="K19" s="10">
        <v>1069000000</v>
      </c>
      <c r="L19" s="10">
        <v>678000000</v>
      </c>
      <c r="M19" s="10">
        <v>838000000</v>
      </c>
      <c r="N19" s="10">
        <v>763000000</v>
      </c>
      <c r="O19" s="38">
        <v>1048000000</v>
      </c>
      <c r="P19" s="38">
        <v>1029000000</v>
      </c>
      <c r="Q19" s="38">
        <v>1050000000</v>
      </c>
      <c r="R19" s="38">
        <v>1115000000</v>
      </c>
      <c r="S19" s="38">
        <v>1138000000</v>
      </c>
      <c r="T19" s="39">
        <f>N40-N56-N61</f>
        <v>-2275000000</v>
      </c>
      <c r="U19" s="36">
        <f>V101/O3</f>
        <v>1.6616657860998651</v>
      </c>
      <c r="V19" s="36">
        <f>V101/O28</f>
        <v>7.9182916237942118</v>
      </c>
      <c r="W19" s="37">
        <f>V101/O106</f>
        <v>6.8414743575496599</v>
      </c>
    </row>
    <row r="20" spans="1:23" ht="19" customHeight="1" x14ac:dyDescent="0.25">
      <c r="A20" s="15" t="s">
        <v>101</v>
      </c>
      <c r="B20" s="1"/>
      <c r="C20" s="16">
        <f>(C19/B19)-1</f>
        <v>1.0354311600064614E-2</v>
      </c>
      <c r="D20" s="16">
        <f>(D19/C19)-1</f>
        <v>-5.9247397918334999E-3</v>
      </c>
      <c r="E20" s="16">
        <f>(E19/D19)-1</f>
        <v>-2.7384020618556715E-2</v>
      </c>
      <c r="F20" s="16">
        <f t="shared" ref="F20:S20" si="4">(F19/E19)-1</f>
        <v>0.15932427956276918</v>
      </c>
      <c r="G20" s="16">
        <f t="shared" si="4"/>
        <v>-0.12185714285714289</v>
      </c>
      <c r="H20" s="16">
        <f t="shared" si="4"/>
        <v>6.6699202863185203E-3</v>
      </c>
      <c r="I20" s="16">
        <f t="shared" si="4"/>
        <v>0.29282482223658701</v>
      </c>
      <c r="J20" s="16">
        <f t="shared" si="4"/>
        <v>0.36250000000000004</v>
      </c>
      <c r="K20" s="16">
        <f t="shared" si="4"/>
        <v>-1.9266055045871533E-2</v>
      </c>
      <c r="L20" s="16">
        <f t="shared" si="4"/>
        <v>-0.36576239476145933</v>
      </c>
      <c r="M20" s="16">
        <f t="shared" si="4"/>
        <v>0.2359882005899705</v>
      </c>
      <c r="N20" s="16">
        <f t="shared" si="4"/>
        <v>-8.9498806682577592E-2</v>
      </c>
      <c r="O20" s="17">
        <f t="shared" si="4"/>
        <v>0.37352555701179546</v>
      </c>
      <c r="P20" s="17">
        <f t="shared" si="4"/>
        <v>-1.8129770992366456E-2</v>
      </c>
      <c r="Q20" s="17">
        <f t="shared" si="4"/>
        <v>2.0408163265306145E-2</v>
      </c>
      <c r="R20" s="17">
        <f t="shared" si="4"/>
        <v>6.1904761904761907E-2</v>
      </c>
      <c r="S20" s="17">
        <f t="shared" si="4"/>
        <v>2.0627802690583064E-2</v>
      </c>
    </row>
    <row r="21" spans="1:23" ht="20" x14ac:dyDescent="0.25">
      <c r="A21" s="5" t="s">
        <v>15</v>
      </c>
      <c r="B21" s="2">
        <v>0.32090000000000002</v>
      </c>
      <c r="C21" s="2">
        <v>0.28870000000000001</v>
      </c>
      <c r="D21" s="2">
        <v>0.2898</v>
      </c>
      <c r="E21" s="2">
        <v>0.31340000000000001</v>
      </c>
      <c r="F21" s="2">
        <v>0.32900000000000001</v>
      </c>
      <c r="G21" s="2">
        <v>0.3095</v>
      </c>
      <c r="H21" s="2">
        <v>0.33629999999999999</v>
      </c>
      <c r="I21" s="2">
        <v>0.35370000000000001</v>
      </c>
      <c r="J21" s="2">
        <v>0.40179999999999999</v>
      </c>
      <c r="K21" s="2">
        <v>0.3962</v>
      </c>
      <c r="L21" s="2">
        <v>0.32579999999999998</v>
      </c>
      <c r="M21" s="2">
        <v>0.34889999999999999</v>
      </c>
      <c r="N21" s="2">
        <v>0.27560000000000001</v>
      </c>
      <c r="O21" s="40">
        <f>O19/O3</f>
        <v>0.35357624831309042</v>
      </c>
      <c r="P21" s="40">
        <f t="shared" ref="P21:S21" si="5">P19/P3</f>
        <v>0.34391711229946526</v>
      </c>
      <c r="Q21" s="40">
        <f t="shared" si="5"/>
        <v>0.34630606860158314</v>
      </c>
      <c r="R21" s="40">
        <f t="shared" si="5"/>
        <v>0.34014643075045758</v>
      </c>
      <c r="S21" s="40">
        <f t="shared" si="5"/>
        <v>0.34010759115361627</v>
      </c>
      <c r="V21" s="19" t="s">
        <v>165</v>
      </c>
      <c r="W21" s="20" t="s">
        <v>166</v>
      </c>
    </row>
    <row r="22" spans="1:23" ht="19" x14ac:dyDescent="0.25">
      <c r="A22" s="6" t="s">
        <v>16</v>
      </c>
      <c r="B22" s="10">
        <v>341800000</v>
      </c>
      <c r="C22" s="10">
        <v>429000000</v>
      </c>
      <c r="D22" s="10">
        <v>420200000</v>
      </c>
      <c r="E22" s="10">
        <v>409900000</v>
      </c>
      <c r="F22" s="10">
        <v>512100000</v>
      </c>
      <c r="G22" s="10">
        <v>428900000</v>
      </c>
      <c r="H22" s="10">
        <v>451500000</v>
      </c>
      <c r="I22" s="10">
        <v>652000000</v>
      </c>
      <c r="J22" s="10">
        <v>923000000</v>
      </c>
      <c r="K22" s="10">
        <v>892000000</v>
      </c>
      <c r="L22" s="10">
        <v>534000000</v>
      </c>
      <c r="M22" s="10">
        <v>669000000</v>
      </c>
      <c r="N22" s="10">
        <v>784000000</v>
      </c>
      <c r="V22" s="66">
        <f>(-1*N98)/V101</f>
        <v>1.6243069774995456E-2</v>
      </c>
      <c r="W22" s="67">
        <f>N107/V101</f>
        <v>0.13339621052715017</v>
      </c>
    </row>
    <row r="23" spans="1:23" ht="19" x14ac:dyDescent="0.25">
      <c r="A23" s="5" t="s">
        <v>17</v>
      </c>
      <c r="B23" s="2">
        <v>0.1774</v>
      </c>
      <c r="C23" s="2">
        <v>0.19839999999999999</v>
      </c>
      <c r="D23" s="2">
        <v>0.19620000000000001</v>
      </c>
      <c r="E23" s="2">
        <v>0.2127</v>
      </c>
      <c r="F23" s="2">
        <v>0.2407</v>
      </c>
      <c r="G23" s="2">
        <v>0.216</v>
      </c>
      <c r="H23" s="2">
        <v>0.24540000000000001</v>
      </c>
      <c r="I23" s="2">
        <v>0.28820000000000001</v>
      </c>
      <c r="J23" s="2">
        <v>0.3402</v>
      </c>
      <c r="K23" s="2">
        <v>0.3306</v>
      </c>
      <c r="L23" s="2">
        <v>0.25659999999999999</v>
      </c>
      <c r="M23" s="2">
        <v>0.27850000000000003</v>
      </c>
      <c r="N23" s="2">
        <v>0.28310000000000002</v>
      </c>
    </row>
    <row r="24" spans="1:23" ht="19" x14ac:dyDescent="0.25">
      <c r="A24" s="5" t="s">
        <v>18</v>
      </c>
      <c r="B24" s="1">
        <v>-258500000</v>
      </c>
      <c r="C24" s="1">
        <v>-278400000</v>
      </c>
      <c r="D24" s="1">
        <v>-204000000</v>
      </c>
      <c r="E24" s="1">
        <v>-143800000</v>
      </c>
      <c r="F24" s="1">
        <v>-144000000</v>
      </c>
      <c r="G24" s="1">
        <v>-140100000</v>
      </c>
      <c r="H24" s="1">
        <v>-110200000</v>
      </c>
      <c r="I24" s="1">
        <v>-125000000</v>
      </c>
      <c r="J24" s="1">
        <v>-118000000</v>
      </c>
      <c r="K24" s="1">
        <v>-124000000</v>
      </c>
      <c r="L24" s="1">
        <v>-141000000</v>
      </c>
      <c r="M24" s="1">
        <v>-97000000</v>
      </c>
      <c r="N24" s="1">
        <v>-139000000</v>
      </c>
    </row>
    <row r="25" spans="1:23" ht="19" x14ac:dyDescent="0.25">
      <c r="A25" s="6" t="s">
        <v>19</v>
      </c>
      <c r="B25" s="10">
        <v>83300000</v>
      </c>
      <c r="C25" s="10">
        <v>150600000</v>
      </c>
      <c r="D25" s="10">
        <v>216200000</v>
      </c>
      <c r="E25" s="10">
        <v>266100000</v>
      </c>
      <c r="F25" s="10">
        <v>368100000</v>
      </c>
      <c r="G25" s="10">
        <v>288800000</v>
      </c>
      <c r="H25" s="10">
        <v>341300000</v>
      </c>
      <c r="I25" s="10">
        <v>527000000</v>
      </c>
      <c r="J25" s="10">
        <v>805000000</v>
      </c>
      <c r="K25" s="10">
        <v>768000000</v>
      </c>
      <c r="L25" s="10">
        <v>393000000</v>
      </c>
      <c r="M25" s="10">
        <v>572000000</v>
      </c>
      <c r="N25" s="10">
        <v>645000000</v>
      </c>
    </row>
    <row r="26" spans="1:23" ht="19" x14ac:dyDescent="0.25">
      <c r="A26" s="5" t="s">
        <v>20</v>
      </c>
      <c r="B26" s="2">
        <v>4.3200000000000002E-2</v>
      </c>
      <c r="C26" s="2">
        <v>6.9599999999999995E-2</v>
      </c>
      <c r="D26" s="2">
        <v>0.1009</v>
      </c>
      <c r="E26" s="2">
        <v>0.1381</v>
      </c>
      <c r="F26" s="2">
        <v>0.17299999999999999</v>
      </c>
      <c r="G26" s="2">
        <v>0.1454</v>
      </c>
      <c r="H26" s="2">
        <v>0.1855</v>
      </c>
      <c r="I26" s="2">
        <v>0.23300000000000001</v>
      </c>
      <c r="J26" s="2">
        <v>0.29670000000000002</v>
      </c>
      <c r="K26" s="2">
        <v>0.28470000000000001</v>
      </c>
      <c r="L26" s="2">
        <v>0.18890000000000001</v>
      </c>
      <c r="M26" s="2">
        <v>0.23810000000000001</v>
      </c>
      <c r="N26" s="2">
        <v>0.2329</v>
      </c>
    </row>
    <row r="27" spans="1:23" ht="19" x14ac:dyDescent="0.25">
      <c r="A27" s="5" t="s">
        <v>21</v>
      </c>
      <c r="B27" s="1">
        <v>53700000</v>
      </c>
      <c r="C27" s="1">
        <v>47600000</v>
      </c>
      <c r="D27" s="1">
        <v>-298000000</v>
      </c>
      <c r="E27" s="1">
        <v>100700000</v>
      </c>
      <c r="F27" s="1">
        <v>139500000</v>
      </c>
      <c r="G27" s="1">
        <v>106500000</v>
      </c>
      <c r="H27" s="1">
        <v>126400000</v>
      </c>
      <c r="I27" s="1">
        <v>23000000</v>
      </c>
      <c r="J27" s="1">
        <v>166000000</v>
      </c>
      <c r="K27" s="1">
        <v>164000000</v>
      </c>
      <c r="L27" s="1">
        <v>94000000</v>
      </c>
      <c r="M27" s="1">
        <v>130000000</v>
      </c>
      <c r="N27" s="1">
        <v>114000000</v>
      </c>
    </row>
    <row r="28" spans="1:23" ht="20" thickBot="1" x14ac:dyDescent="0.3">
      <c r="A28" s="7" t="s">
        <v>22</v>
      </c>
      <c r="B28" s="11">
        <v>29600000</v>
      </c>
      <c r="C28" s="11">
        <v>103000000</v>
      </c>
      <c r="D28" s="11">
        <v>514200000</v>
      </c>
      <c r="E28" s="11">
        <v>165400000</v>
      </c>
      <c r="F28" s="11">
        <v>228600000</v>
      </c>
      <c r="G28" s="11">
        <v>182300000</v>
      </c>
      <c r="H28" s="11">
        <v>214900000</v>
      </c>
      <c r="I28" s="11">
        <v>504000000</v>
      </c>
      <c r="J28" s="11">
        <v>639000000</v>
      </c>
      <c r="K28" s="11">
        <v>604000000</v>
      </c>
      <c r="L28" s="11">
        <v>299000000</v>
      </c>
      <c r="M28" s="11">
        <v>442000000</v>
      </c>
      <c r="N28" s="11">
        <v>531000000</v>
      </c>
      <c r="O28" s="41">
        <v>622000000</v>
      </c>
      <c r="P28" s="41">
        <v>622300000</v>
      </c>
      <c r="Q28" s="41">
        <v>615300000</v>
      </c>
      <c r="R28" s="41">
        <v>624000000</v>
      </c>
      <c r="S28" s="41">
        <v>661000000</v>
      </c>
    </row>
    <row r="29" spans="1:23" ht="20" customHeight="1" thickTop="1" x14ac:dyDescent="0.25">
      <c r="A29" s="15" t="s">
        <v>102</v>
      </c>
      <c r="B29" s="1"/>
      <c r="C29" s="16">
        <f>(C28/B28)-1</f>
        <v>2.4797297297297298</v>
      </c>
      <c r="D29" s="16">
        <f>(D28/C28)-1</f>
        <v>3.9922330097087375</v>
      </c>
      <c r="E29" s="16">
        <f>(E28/D28)-1</f>
        <v>-0.67833527810190586</v>
      </c>
      <c r="F29" s="16">
        <f t="shared" ref="F29:S29" si="6">(F28/E28)-1</f>
        <v>0.38210399032648135</v>
      </c>
      <c r="G29" s="16">
        <f t="shared" si="6"/>
        <v>-0.2025371828521435</v>
      </c>
      <c r="H29" s="16">
        <f t="shared" si="6"/>
        <v>0.17882611080636313</v>
      </c>
      <c r="I29" s="16">
        <f t="shared" si="6"/>
        <v>1.3452768729641695</v>
      </c>
      <c r="J29" s="16">
        <f t="shared" si="6"/>
        <v>0.26785714285714279</v>
      </c>
      <c r="K29" s="16">
        <f t="shared" si="6"/>
        <v>-5.477308294209704E-2</v>
      </c>
      <c r="L29" s="16">
        <f t="shared" si="6"/>
        <v>-0.50496688741721862</v>
      </c>
      <c r="M29" s="16">
        <f t="shared" si="6"/>
        <v>0.47826086956521729</v>
      </c>
      <c r="N29" s="16">
        <f t="shared" si="6"/>
        <v>0.20135746606334837</v>
      </c>
      <c r="O29" s="17">
        <f t="shared" si="6"/>
        <v>0.17137476459510359</v>
      </c>
      <c r="P29" s="17">
        <f t="shared" si="6"/>
        <v>4.823151125401548E-4</v>
      </c>
      <c r="Q29" s="17">
        <f t="shared" si="6"/>
        <v>-1.1248593925759276E-2</v>
      </c>
      <c r="R29" s="17">
        <f t="shared" si="6"/>
        <v>1.4139444173573823E-2</v>
      </c>
      <c r="S29" s="17">
        <f t="shared" si="6"/>
        <v>5.9294871794871806E-2</v>
      </c>
    </row>
    <row r="30" spans="1:23" ht="19" x14ac:dyDescent="0.25">
      <c r="A30" s="5" t="s">
        <v>23</v>
      </c>
      <c r="B30" s="2">
        <v>1.54E-2</v>
      </c>
      <c r="C30" s="2">
        <v>4.7600000000000003E-2</v>
      </c>
      <c r="D30" s="2">
        <v>0.24010000000000001</v>
      </c>
      <c r="E30" s="2">
        <v>8.5800000000000001E-2</v>
      </c>
      <c r="F30" s="2">
        <v>0.1075</v>
      </c>
      <c r="G30" s="2">
        <v>9.1800000000000007E-2</v>
      </c>
      <c r="H30" s="2">
        <v>0.1168</v>
      </c>
      <c r="I30" s="2">
        <v>0.2228</v>
      </c>
      <c r="J30" s="2">
        <v>0.23549999999999999</v>
      </c>
      <c r="K30" s="2">
        <v>0.22389999999999999</v>
      </c>
      <c r="L30" s="2">
        <v>0.14369999999999999</v>
      </c>
      <c r="M30" s="2">
        <v>0.184</v>
      </c>
      <c r="N30" s="2">
        <v>0.1918</v>
      </c>
      <c r="O30" s="42">
        <f>O28/O3</f>
        <v>0.20985155195681512</v>
      </c>
      <c r="P30" s="42">
        <f t="shared" ref="P30:S30" si="7">P28/P3</f>
        <v>0.20798796791443849</v>
      </c>
      <c r="Q30" s="42">
        <f t="shared" si="7"/>
        <v>0.20293535620052772</v>
      </c>
      <c r="R30" s="42">
        <f t="shared" si="7"/>
        <v>0.19035997559487491</v>
      </c>
      <c r="S30" s="42">
        <f t="shared" si="7"/>
        <v>0.19754931261207412</v>
      </c>
    </row>
    <row r="31" spans="1:23" ht="19" x14ac:dyDescent="0.25">
      <c r="A31" s="5" t="s">
        <v>24</v>
      </c>
      <c r="B31" s="12">
        <v>0.16</v>
      </c>
      <c r="C31" s="12">
        <v>0.56999999999999995</v>
      </c>
      <c r="D31" s="12">
        <v>2.83</v>
      </c>
      <c r="E31" s="12">
        <v>0.9</v>
      </c>
      <c r="F31" s="12">
        <v>1.27</v>
      </c>
      <c r="G31" s="12">
        <v>1.03</v>
      </c>
      <c r="H31" s="12">
        <v>1.28</v>
      </c>
      <c r="I31" s="12">
        <v>3.38</v>
      </c>
      <c r="J31" s="12">
        <v>4.8099999999999996</v>
      </c>
      <c r="K31" s="12">
        <v>4.95</v>
      </c>
      <c r="L31" s="12">
        <v>2.62</v>
      </c>
      <c r="M31" s="12">
        <v>3.87</v>
      </c>
      <c r="N31" s="12">
        <v>4.6500000000000004</v>
      </c>
      <c r="O31" s="43">
        <v>6.83</v>
      </c>
      <c r="P31" s="43">
        <v>6.83</v>
      </c>
      <c r="Q31" s="43">
        <v>6.76</v>
      </c>
      <c r="R31" s="43">
        <v>6.85</v>
      </c>
      <c r="S31" s="43">
        <v>7.26</v>
      </c>
    </row>
    <row r="32" spans="1:23" ht="19" x14ac:dyDescent="0.25">
      <c r="A32" s="5" t="s">
        <v>25</v>
      </c>
      <c r="B32" s="12">
        <v>0.16</v>
      </c>
      <c r="C32" s="12">
        <v>0.56999999999999995</v>
      </c>
      <c r="D32" s="12">
        <v>2.76</v>
      </c>
      <c r="E32" s="12">
        <v>0.88</v>
      </c>
      <c r="F32" s="12">
        <v>1.25</v>
      </c>
      <c r="G32" s="12">
        <v>1.03</v>
      </c>
      <c r="H32" s="12">
        <v>1.27</v>
      </c>
      <c r="I32" s="12">
        <v>3.36</v>
      </c>
      <c r="J32" s="12">
        <v>4.78</v>
      </c>
      <c r="K32" s="12">
        <v>4.91</v>
      </c>
      <c r="L32" s="12">
        <v>2.62</v>
      </c>
      <c r="M32" s="12">
        <v>3.87</v>
      </c>
      <c r="N32" s="12">
        <v>4.6500000000000004</v>
      </c>
    </row>
    <row r="33" spans="1:14" ht="19" x14ac:dyDescent="0.25">
      <c r="A33" s="5" t="s">
        <v>26</v>
      </c>
      <c r="B33" s="1">
        <v>181400000</v>
      </c>
      <c r="C33" s="1">
        <v>181375783</v>
      </c>
      <c r="D33" s="1">
        <v>181696113</v>
      </c>
      <c r="E33" s="1">
        <v>183777778</v>
      </c>
      <c r="F33" s="1">
        <v>180000000</v>
      </c>
      <c r="G33" s="1">
        <v>176990291</v>
      </c>
      <c r="H33" s="1">
        <v>167890625</v>
      </c>
      <c r="I33" s="1">
        <v>149112426</v>
      </c>
      <c r="J33" s="1">
        <v>132848233</v>
      </c>
      <c r="K33" s="1">
        <v>122020202</v>
      </c>
      <c r="L33" s="1">
        <v>114122137</v>
      </c>
      <c r="M33" s="1">
        <v>114122137</v>
      </c>
      <c r="N33" s="1">
        <v>114122137</v>
      </c>
    </row>
    <row r="34" spans="1:14" ht="19" x14ac:dyDescent="0.25">
      <c r="A34" s="5" t="s">
        <v>27</v>
      </c>
      <c r="B34" s="1">
        <v>181400000</v>
      </c>
      <c r="C34" s="1">
        <v>181375783</v>
      </c>
      <c r="D34" s="1">
        <v>186304348</v>
      </c>
      <c r="E34" s="1">
        <v>187954545</v>
      </c>
      <c r="F34" s="1">
        <v>182880000</v>
      </c>
      <c r="G34" s="1">
        <v>176990291</v>
      </c>
      <c r="H34" s="1">
        <v>169212598</v>
      </c>
      <c r="I34" s="1">
        <v>150000000</v>
      </c>
      <c r="J34" s="1">
        <v>133682008</v>
      </c>
      <c r="K34" s="1">
        <v>123014257</v>
      </c>
      <c r="L34" s="1">
        <v>114122137</v>
      </c>
      <c r="M34" s="1">
        <v>114122137</v>
      </c>
      <c r="N34" s="1">
        <v>114122137</v>
      </c>
    </row>
    <row r="35" spans="1:14" ht="20" customHeight="1" x14ac:dyDescent="0.25">
      <c r="A35" s="15" t="s">
        <v>103</v>
      </c>
      <c r="B35" s="1"/>
      <c r="C35" s="23">
        <f>(C34-B34)/B34</f>
        <v>-1.3350055126791621E-4</v>
      </c>
      <c r="D35" s="23">
        <f t="shared" ref="D35:N35" si="8">(D34-C34)/C34</f>
        <v>2.7173225214967095E-2</v>
      </c>
      <c r="E35" s="23">
        <f t="shared" si="8"/>
        <v>8.8575334806464106E-3</v>
      </c>
      <c r="F35" s="23">
        <f t="shared" si="8"/>
        <v>-2.6998788457070832E-2</v>
      </c>
      <c r="G35" s="23">
        <f t="shared" si="8"/>
        <v>-3.2205320428696414E-2</v>
      </c>
      <c r="H35" s="23">
        <f t="shared" si="8"/>
        <v>-4.3944178836340803E-2</v>
      </c>
      <c r="I35" s="23">
        <f t="shared" si="8"/>
        <v>-0.11354117971759999</v>
      </c>
      <c r="J35" s="23">
        <f t="shared" si="8"/>
        <v>-0.10878661333333334</v>
      </c>
      <c r="K35" s="23">
        <f t="shared" si="8"/>
        <v>-7.9799452144674543E-2</v>
      </c>
      <c r="L35" s="23">
        <f t="shared" si="8"/>
        <v>-7.2285279908653188E-2</v>
      </c>
      <c r="M35" s="23">
        <f t="shared" si="8"/>
        <v>0</v>
      </c>
      <c r="N35" s="23">
        <f t="shared" si="8"/>
        <v>0</v>
      </c>
    </row>
    <row r="36" spans="1:1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row>
    <row r="37" spans="1:1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row>
    <row r="38" spans="1:14" ht="19" x14ac:dyDescent="0.25">
      <c r="A38" s="5" t="s">
        <v>30</v>
      </c>
      <c r="B38" s="1" t="s">
        <v>91</v>
      </c>
      <c r="C38" s="1">
        <v>314000000</v>
      </c>
      <c r="D38" s="1">
        <v>80200000</v>
      </c>
      <c r="E38" s="1">
        <v>184700000</v>
      </c>
      <c r="F38" s="1">
        <v>263000000</v>
      </c>
      <c r="G38" s="1">
        <v>251600000</v>
      </c>
      <c r="H38" s="1">
        <v>204700000</v>
      </c>
      <c r="I38" s="1">
        <v>199000000</v>
      </c>
      <c r="J38" s="1">
        <v>231000000</v>
      </c>
      <c r="K38" s="1">
        <v>192000000</v>
      </c>
      <c r="L38" s="1">
        <v>310000000</v>
      </c>
      <c r="M38" s="1">
        <v>127000000</v>
      </c>
      <c r="N38" s="1">
        <v>232000000</v>
      </c>
    </row>
    <row r="39" spans="1:14"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row>
    <row r="40" spans="1:14" ht="19" x14ac:dyDescent="0.25">
      <c r="A40" s="5" t="s">
        <v>32</v>
      </c>
      <c r="B40" s="1" t="s">
        <v>91</v>
      </c>
      <c r="C40" s="1">
        <v>314000000</v>
      </c>
      <c r="D40" s="1">
        <v>80200000</v>
      </c>
      <c r="E40" s="1">
        <v>184700000</v>
      </c>
      <c r="F40" s="1">
        <v>263000000</v>
      </c>
      <c r="G40" s="1">
        <v>251600000</v>
      </c>
      <c r="H40" s="1">
        <v>204700000</v>
      </c>
      <c r="I40" s="1">
        <v>199000000</v>
      </c>
      <c r="J40" s="1">
        <v>231000000</v>
      </c>
      <c r="K40" s="1">
        <v>192000000</v>
      </c>
      <c r="L40" s="1">
        <v>310000000</v>
      </c>
      <c r="M40" s="1">
        <v>127000000</v>
      </c>
      <c r="N40" s="1">
        <v>232000000</v>
      </c>
    </row>
    <row r="41" spans="1:14" ht="19" x14ac:dyDescent="0.25">
      <c r="A41" s="5" t="s">
        <v>33</v>
      </c>
      <c r="B41" s="1" t="s">
        <v>91</v>
      </c>
      <c r="C41" s="1">
        <v>194700000</v>
      </c>
      <c r="D41" s="1">
        <v>165000000</v>
      </c>
      <c r="E41" s="1">
        <v>175100000</v>
      </c>
      <c r="F41" s="1">
        <v>207400000</v>
      </c>
      <c r="G41" s="1">
        <v>195000000</v>
      </c>
      <c r="H41" s="1">
        <v>196900000</v>
      </c>
      <c r="I41" s="1">
        <v>254000000</v>
      </c>
      <c r="J41" s="1">
        <v>295000000</v>
      </c>
      <c r="K41" s="1">
        <v>253000000</v>
      </c>
      <c r="L41" s="1">
        <v>228000000</v>
      </c>
      <c r="M41" s="1">
        <v>301000000</v>
      </c>
      <c r="N41" s="1">
        <v>363000000</v>
      </c>
    </row>
    <row r="42" spans="1:14" ht="19" x14ac:dyDescent="0.25">
      <c r="A42" s="5" t="s">
        <v>34</v>
      </c>
      <c r="B42" s="1" t="s">
        <v>91</v>
      </c>
      <c r="C42" s="1">
        <v>155900000</v>
      </c>
      <c r="D42" s="1">
        <v>157100000</v>
      </c>
      <c r="E42" s="1">
        <v>160400000</v>
      </c>
      <c r="F42" s="1">
        <v>143500000</v>
      </c>
      <c r="G42" s="1">
        <v>141400000</v>
      </c>
      <c r="H42" s="1">
        <v>125600000</v>
      </c>
      <c r="I42" s="1">
        <v>154000000</v>
      </c>
      <c r="J42" s="1">
        <v>170000000</v>
      </c>
      <c r="K42" s="1">
        <v>199000000</v>
      </c>
      <c r="L42" s="1">
        <v>181000000</v>
      </c>
      <c r="M42" s="1">
        <v>204000000</v>
      </c>
      <c r="N42" s="1">
        <v>224000000</v>
      </c>
    </row>
    <row r="43" spans="1:14" ht="19" x14ac:dyDescent="0.25">
      <c r="A43" s="5" t="s">
        <v>35</v>
      </c>
      <c r="B43" s="1" t="s">
        <v>91</v>
      </c>
      <c r="C43" s="1">
        <v>38100000</v>
      </c>
      <c r="D43" s="1">
        <v>88000000</v>
      </c>
      <c r="E43" s="1">
        <v>86700000</v>
      </c>
      <c r="F43" s="1">
        <v>144100000</v>
      </c>
      <c r="G43" s="1">
        <v>28800000</v>
      </c>
      <c r="H43" s="1">
        <v>20400000</v>
      </c>
      <c r="I43" s="1">
        <v>25000000</v>
      </c>
      <c r="J43" s="1">
        <v>29000000</v>
      </c>
      <c r="K43" s="1">
        <v>42000000</v>
      </c>
      <c r="L43" s="1">
        <v>37000000</v>
      </c>
      <c r="M43" s="1">
        <v>39000000</v>
      </c>
      <c r="N43" s="1">
        <v>47000000</v>
      </c>
    </row>
    <row r="44" spans="1:14" ht="19" x14ac:dyDescent="0.25">
      <c r="A44" s="6" t="s">
        <v>36</v>
      </c>
      <c r="B44" s="10" t="s">
        <v>91</v>
      </c>
      <c r="C44" s="10">
        <v>702700000</v>
      </c>
      <c r="D44" s="10">
        <v>490300000</v>
      </c>
      <c r="E44" s="10">
        <v>606900000</v>
      </c>
      <c r="F44" s="10">
        <v>758000000</v>
      </c>
      <c r="G44" s="10">
        <v>616800000</v>
      </c>
      <c r="H44" s="10">
        <v>547600000</v>
      </c>
      <c r="I44" s="10">
        <v>632000000</v>
      </c>
      <c r="J44" s="10">
        <v>725000000</v>
      </c>
      <c r="K44" s="10">
        <v>686000000</v>
      </c>
      <c r="L44" s="10">
        <v>756000000</v>
      </c>
      <c r="M44" s="10">
        <v>671000000</v>
      </c>
      <c r="N44" s="10">
        <v>866000000</v>
      </c>
    </row>
    <row r="45" spans="1:14" ht="19" x14ac:dyDescent="0.25">
      <c r="A45" s="5" t="s">
        <v>37</v>
      </c>
      <c r="B45" s="1" t="s">
        <v>91</v>
      </c>
      <c r="C45" s="1">
        <v>581800000</v>
      </c>
      <c r="D45" s="1">
        <v>596200000</v>
      </c>
      <c r="E45" s="1">
        <v>563400000</v>
      </c>
      <c r="F45" s="1">
        <v>514600000</v>
      </c>
      <c r="G45" s="1">
        <v>479700000</v>
      </c>
      <c r="H45" s="1">
        <v>464100000</v>
      </c>
      <c r="I45" s="1">
        <v>448000000</v>
      </c>
      <c r="J45" s="1">
        <v>466000000</v>
      </c>
      <c r="K45" s="1">
        <v>616000000</v>
      </c>
      <c r="L45" s="1">
        <v>638000000</v>
      </c>
      <c r="M45" s="1">
        <v>706000000</v>
      </c>
      <c r="N45" s="1">
        <v>763000000</v>
      </c>
    </row>
    <row r="46" spans="1:14" ht="19" x14ac:dyDescent="0.25">
      <c r="A46" s="5" t="s">
        <v>38</v>
      </c>
      <c r="B46" s="1" t="s">
        <v>91</v>
      </c>
      <c r="C46" s="1">
        <v>1941000000</v>
      </c>
      <c r="D46" s="1">
        <v>1941000000</v>
      </c>
      <c r="E46" s="1">
        <v>1941000000</v>
      </c>
      <c r="F46" s="1">
        <v>1941000000</v>
      </c>
      <c r="G46" s="1">
        <v>1941000000</v>
      </c>
      <c r="H46" s="1">
        <v>1941000000</v>
      </c>
      <c r="I46" s="1">
        <v>1941000000</v>
      </c>
      <c r="J46" s="1">
        <v>1941000000</v>
      </c>
      <c r="K46" s="1">
        <v>2041000000</v>
      </c>
      <c r="L46" s="1">
        <v>2064000000</v>
      </c>
      <c r="M46" s="1">
        <v>2064000000</v>
      </c>
      <c r="N46" s="1">
        <v>2075000000</v>
      </c>
    </row>
    <row r="47" spans="1:14" ht="19" x14ac:dyDescent="0.25">
      <c r="A47" s="5" t="s">
        <v>39</v>
      </c>
      <c r="B47" s="1" t="s">
        <v>91</v>
      </c>
      <c r="C47" s="1">
        <v>1866100000</v>
      </c>
      <c r="D47" s="1">
        <v>1716100000</v>
      </c>
      <c r="E47" s="1">
        <v>1610800000</v>
      </c>
      <c r="F47" s="1">
        <v>1512000000</v>
      </c>
      <c r="G47" s="1">
        <v>1334800000</v>
      </c>
      <c r="H47" s="1">
        <v>1242400000</v>
      </c>
      <c r="I47" s="1">
        <v>1153000000</v>
      </c>
      <c r="J47" s="1">
        <v>1066000000</v>
      </c>
      <c r="K47" s="1">
        <v>1042000000</v>
      </c>
      <c r="L47" s="1">
        <v>963000000</v>
      </c>
      <c r="M47" s="1">
        <v>917000000</v>
      </c>
      <c r="N47" s="1">
        <v>878000000</v>
      </c>
    </row>
    <row r="48" spans="1:14" ht="19" x14ac:dyDescent="0.25">
      <c r="A48" s="5" t="s">
        <v>40</v>
      </c>
      <c r="B48" s="1" t="s">
        <v>91</v>
      </c>
      <c r="C48" s="1">
        <v>3807100000</v>
      </c>
      <c r="D48" s="1">
        <v>3657100000</v>
      </c>
      <c r="E48" s="1">
        <v>3551800000</v>
      </c>
      <c r="F48" s="1">
        <v>3453000000</v>
      </c>
      <c r="G48" s="1">
        <v>3275800000</v>
      </c>
      <c r="H48" s="1">
        <v>3183400000</v>
      </c>
      <c r="I48" s="1">
        <v>3094000000</v>
      </c>
      <c r="J48" s="1">
        <v>3007000000</v>
      </c>
      <c r="K48" s="1">
        <v>3083000000</v>
      </c>
      <c r="L48" s="1">
        <v>3027000000</v>
      </c>
      <c r="M48" s="1">
        <v>2981000000</v>
      </c>
      <c r="N48" s="1">
        <v>2953000000</v>
      </c>
    </row>
    <row r="49" spans="1:14" ht="19" x14ac:dyDescent="0.25">
      <c r="A49" s="5" t="s">
        <v>41</v>
      </c>
      <c r="B49" s="1" t="s">
        <v>91</v>
      </c>
      <c r="C49" s="1" t="s">
        <v>91</v>
      </c>
      <c r="D49" s="1" t="s">
        <v>91</v>
      </c>
      <c r="E49" s="1" t="s">
        <v>91</v>
      </c>
      <c r="F49" s="1" t="s">
        <v>91</v>
      </c>
      <c r="G49" s="1" t="s">
        <v>91</v>
      </c>
      <c r="H49" s="1" t="s">
        <v>91</v>
      </c>
      <c r="I49" s="1" t="s">
        <v>91</v>
      </c>
      <c r="J49" s="1" t="s">
        <v>91</v>
      </c>
      <c r="K49" s="1" t="s">
        <v>91</v>
      </c>
      <c r="L49" s="1" t="s">
        <v>91</v>
      </c>
      <c r="M49" s="1">
        <v>46000000</v>
      </c>
      <c r="N49" s="1">
        <v>22000000</v>
      </c>
    </row>
    <row r="50" spans="1:14" ht="19" x14ac:dyDescent="0.25">
      <c r="A50" s="5" t="s">
        <v>42</v>
      </c>
      <c r="B50" s="1" t="s">
        <v>91</v>
      </c>
      <c r="C50" s="1" t="s">
        <v>91</v>
      </c>
      <c r="D50" s="1">
        <v>32300000</v>
      </c>
      <c r="E50" s="1">
        <v>1100000</v>
      </c>
      <c r="F50" s="1">
        <v>1300000</v>
      </c>
      <c r="G50" s="1">
        <v>1900000</v>
      </c>
      <c r="H50" s="1" t="s">
        <v>91</v>
      </c>
      <c r="I50" s="1" t="s">
        <v>91</v>
      </c>
      <c r="J50" s="1" t="s">
        <v>91</v>
      </c>
      <c r="K50" s="1" t="s">
        <v>91</v>
      </c>
      <c r="L50" s="1" t="s">
        <v>91</v>
      </c>
      <c r="M50" s="1">
        <v>514000000</v>
      </c>
      <c r="N50" s="1" t="s">
        <v>91</v>
      </c>
    </row>
    <row r="51" spans="1:14" ht="19" x14ac:dyDescent="0.25">
      <c r="A51" s="5" t="s">
        <v>43</v>
      </c>
      <c r="B51" s="1" t="s">
        <v>91</v>
      </c>
      <c r="C51" s="1">
        <v>101000000</v>
      </c>
      <c r="D51" s="1">
        <v>90100000</v>
      </c>
      <c r="E51" s="1">
        <v>89400000</v>
      </c>
      <c r="F51" s="1">
        <v>77300000</v>
      </c>
      <c r="G51" s="1">
        <v>34200000</v>
      </c>
      <c r="H51" s="1">
        <v>23500000</v>
      </c>
      <c r="I51" s="1">
        <v>31000000</v>
      </c>
      <c r="J51" s="1">
        <v>39000000</v>
      </c>
      <c r="K51" s="1">
        <v>65000000</v>
      </c>
      <c r="L51" s="1">
        <v>56000000</v>
      </c>
      <c r="M51" s="1">
        <v>-461000000</v>
      </c>
      <c r="N51" s="1">
        <v>89000000</v>
      </c>
    </row>
    <row r="52" spans="1:14" ht="19" x14ac:dyDescent="0.25">
      <c r="A52" s="5" t="s">
        <v>44</v>
      </c>
      <c r="B52" s="1" t="s">
        <v>91</v>
      </c>
      <c r="C52" s="1">
        <v>4489900000</v>
      </c>
      <c r="D52" s="1">
        <v>4375700000</v>
      </c>
      <c r="E52" s="1">
        <v>4205700000</v>
      </c>
      <c r="F52" s="1">
        <v>4046200000</v>
      </c>
      <c r="G52" s="1">
        <v>3791600000</v>
      </c>
      <c r="H52" s="1">
        <v>3671000000</v>
      </c>
      <c r="I52" s="1">
        <v>3573000000</v>
      </c>
      <c r="J52" s="1">
        <v>3512000000</v>
      </c>
      <c r="K52" s="1">
        <v>3764000000</v>
      </c>
      <c r="L52" s="1">
        <v>3721000000</v>
      </c>
      <c r="M52" s="1">
        <v>3786000000</v>
      </c>
      <c r="N52" s="1">
        <v>3805000000</v>
      </c>
    </row>
    <row r="53" spans="1:1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row>
    <row r="54" spans="1:14" ht="20" thickBot="1" x14ac:dyDescent="0.3">
      <c r="A54" s="7" t="s">
        <v>46</v>
      </c>
      <c r="B54" s="11" t="s">
        <v>91</v>
      </c>
      <c r="C54" s="11">
        <v>5192600000</v>
      </c>
      <c r="D54" s="11">
        <v>4866000000</v>
      </c>
      <c r="E54" s="11">
        <v>4812600000</v>
      </c>
      <c r="F54" s="11">
        <v>4804200000</v>
      </c>
      <c r="G54" s="11">
        <v>4408400000</v>
      </c>
      <c r="H54" s="11">
        <v>4218600000</v>
      </c>
      <c r="I54" s="11">
        <v>4205000000</v>
      </c>
      <c r="J54" s="11">
        <v>4237000000</v>
      </c>
      <c r="K54" s="11">
        <v>4450000000</v>
      </c>
      <c r="L54" s="11">
        <v>4477000000</v>
      </c>
      <c r="M54" s="11">
        <v>4457000000</v>
      </c>
      <c r="N54" s="11">
        <v>4671000000</v>
      </c>
    </row>
    <row r="55" spans="1:14" ht="20" thickTop="1" x14ac:dyDescent="0.25">
      <c r="A55" s="5" t="s">
        <v>47</v>
      </c>
      <c r="B55" s="1" t="s">
        <v>91</v>
      </c>
      <c r="C55" s="1">
        <v>162600000</v>
      </c>
      <c r="D55" s="1">
        <v>133100000</v>
      </c>
      <c r="E55" s="1">
        <v>150400000</v>
      </c>
      <c r="F55" s="1">
        <v>151700000</v>
      </c>
      <c r="G55" s="1">
        <v>126200000</v>
      </c>
      <c r="H55" s="1">
        <v>127900000</v>
      </c>
      <c r="I55" s="1">
        <v>159000000</v>
      </c>
      <c r="J55" s="1">
        <v>169000000</v>
      </c>
      <c r="K55" s="1">
        <v>150000000</v>
      </c>
      <c r="L55" s="1">
        <v>157000000</v>
      </c>
      <c r="M55" s="1">
        <v>179000000</v>
      </c>
      <c r="N55" s="1">
        <v>195000000</v>
      </c>
    </row>
    <row r="56" spans="1:14" ht="19" x14ac:dyDescent="0.25">
      <c r="A56" s="5" t="s">
        <v>48</v>
      </c>
      <c r="B56" s="1" t="s">
        <v>91</v>
      </c>
      <c r="C56" s="1">
        <v>33600000</v>
      </c>
      <c r="D56" s="1">
        <v>19500000</v>
      </c>
      <c r="E56" s="1">
        <v>17900000</v>
      </c>
      <c r="F56" s="1">
        <v>17900000</v>
      </c>
      <c r="G56" s="1">
        <v>24500000</v>
      </c>
      <c r="H56" s="1">
        <v>11900000</v>
      </c>
      <c r="I56" s="1">
        <v>12000000</v>
      </c>
      <c r="J56" s="1" t="s">
        <v>91</v>
      </c>
      <c r="K56" s="1">
        <v>11000000</v>
      </c>
      <c r="L56" s="1">
        <v>10000000</v>
      </c>
      <c r="M56" s="1">
        <v>10000000</v>
      </c>
      <c r="N56" s="1">
        <v>6000000</v>
      </c>
    </row>
    <row r="57" spans="1:14" ht="19" x14ac:dyDescent="0.25">
      <c r="A57" s="5" t="s">
        <v>49</v>
      </c>
      <c r="B57" s="1" t="s">
        <v>91</v>
      </c>
      <c r="C57" s="1">
        <v>17100000</v>
      </c>
      <c r="D57" s="1">
        <v>6900000</v>
      </c>
      <c r="E57" s="1">
        <v>8600000</v>
      </c>
      <c r="F57" s="1">
        <v>8500000</v>
      </c>
      <c r="G57" s="1">
        <v>12600000</v>
      </c>
      <c r="H57" s="1">
        <v>9900000</v>
      </c>
      <c r="I57" s="1">
        <v>10000000</v>
      </c>
      <c r="J57" s="1">
        <v>10000000</v>
      </c>
      <c r="K57" s="1">
        <v>12000000</v>
      </c>
      <c r="L57" s="1">
        <v>11000000</v>
      </c>
      <c r="M57" s="1">
        <v>14000000</v>
      </c>
      <c r="N57" s="1" t="s">
        <v>91</v>
      </c>
    </row>
    <row r="58" spans="1:14" ht="19" x14ac:dyDescent="0.25">
      <c r="A58" s="5" t="s">
        <v>50</v>
      </c>
      <c r="B58" s="1" t="s">
        <v>91</v>
      </c>
      <c r="C58" s="1">
        <v>19900000</v>
      </c>
      <c r="D58" s="1">
        <v>21600000</v>
      </c>
      <c r="E58" s="1">
        <v>29200000</v>
      </c>
      <c r="F58" s="1">
        <v>20600000</v>
      </c>
      <c r="G58" s="1">
        <v>22900000</v>
      </c>
      <c r="H58" s="1">
        <v>27300000</v>
      </c>
      <c r="I58" s="1">
        <v>41000000</v>
      </c>
      <c r="J58" s="1">
        <v>34000000</v>
      </c>
      <c r="K58" s="1">
        <v>35000000</v>
      </c>
      <c r="L58" s="1">
        <v>34000000</v>
      </c>
      <c r="M58" s="1">
        <v>37000000</v>
      </c>
      <c r="N58" s="1">
        <v>38000000</v>
      </c>
    </row>
    <row r="59" spans="1:14" ht="19" x14ac:dyDescent="0.25">
      <c r="A59" s="5" t="s">
        <v>51</v>
      </c>
      <c r="B59" s="1" t="s">
        <v>91</v>
      </c>
      <c r="C59" s="1">
        <v>216700000</v>
      </c>
      <c r="D59" s="1">
        <v>196700000</v>
      </c>
      <c r="E59" s="1">
        <v>181100000</v>
      </c>
      <c r="F59" s="1">
        <v>147200000</v>
      </c>
      <c r="G59" s="1">
        <v>118400000</v>
      </c>
      <c r="H59" s="1">
        <v>165200000</v>
      </c>
      <c r="I59" s="1">
        <v>195000000</v>
      </c>
      <c r="J59" s="1">
        <v>213000000</v>
      </c>
      <c r="K59" s="1">
        <v>209000000</v>
      </c>
      <c r="L59" s="1">
        <v>161000000</v>
      </c>
      <c r="M59" s="1">
        <v>219000000</v>
      </c>
      <c r="N59" s="1">
        <v>241000000</v>
      </c>
    </row>
    <row r="60" spans="1:14" ht="19" x14ac:dyDescent="0.25">
      <c r="A60" s="6" t="s">
        <v>52</v>
      </c>
      <c r="B60" s="10" t="s">
        <v>91</v>
      </c>
      <c r="C60" s="10">
        <v>449900000</v>
      </c>
      <c r="D60" s="10">
        <v>377800000</v>
      </c>
      <c r="E60" s="10">
        <v>387200000</v>
      </c>
      <c r="F60" s="10">
        <v>345900000</v>
      </c>
      <c r="G60" s="10">
        <v>304600000</v>
      </c>
      <c r="H60" s="10">
        <v>342200000</v>
      </c>
      <c r="I60" s="10">
        <v>417000000</v>
      </c>
      <c r="J60" s="10">
        <v>426000000</v>
      </c>
      <c r="K60" s="10">
        <v>417000000</v>
      </c>
      <c r="L60" s="10">
        <v>373000000</v>
      </c>
      <c r="M60" s="10">
        <v>459000000</v>
      </c>
      <c r="N60" s="10">
        <v>480000000</v>
      </c>
    </row>
    <row r="61" spans="1:14" ht="19" x14ac:dyDescent="0.25">
      <c r="A61" s="5" t="s">
        <v>53</v>
      </c>
      <c r="B61" s="1" t="s">
        <v>91</v>
      </c>
      <c r="C61" s="1">
        <v>3345000000</v>
      </c>
      <c r="D61" s="1">
        <v>2801300000</v>
      </c>
      <c r="E61" s="1">
        <v>2660400000</v>
      </c>
      <c r="F61" s="1">
        <v>2502600000</v>
      </c>
      <c r="G61" s="1">
        <v>2352700000</v>
      </c>
      <c r="H61" s="1">
        <v>2146800000</v>
      </c>
      <c r="I61" s="1">
        <v>2534000000</v>
      </c>
      <c r="J61" s="1">
        <v>2523000000</v>
      </c>
      <c r="K61" s="1">
        <v>2512000000</v>
      </c>
      <c r="L61" s="1">
        <v>2507000000</v>
      </c>
      <c r="M61" s="1">
        <v>2504000000</v>
      </c>
      <c r="N61" s="1">
        <v>2501000000</v>
      </c>
    </row>
    <row r="62" spans="1:14" ht="19" x14ac:dyDescent="0.25">
      <c r="A62" s="5" t="s">
        <v>50</v>
      </c>
      <c r="B62" s="1" t="s">
        <v>91</v>
      </c>
      <c r="C62" s="1">
        <v>40800000</v>
      </c>
      <c r="D62" s="1">
        <v>42600000</v>
      </c>
      <c r="E62" s="1">
        <v>43200000</v>
      </c>
      <c r="F62" s="1">
        <v>48700000</v>
      </c>
      <c r="G62" s="1">
        <v>56400000</v>
      </c>
      <c r="H62" s="1">
        <v>66300000</v>
      </c>
      <c r="I62" s="1">
        <v>75000000</v>
      </c>
      <c r="J62" s="1">
        <v>88000000</v>
      </c>
      <c r="K62" s="1">
        <v>104000000</v>
      </c>
      <c r="L62" s="1">
        <v>109000000</v>
      </c>
      <c r="M62" s="1">
        <v>99000000</v>
      </c>
      <c r="N62" s="1">
        <v>93000000</v>
      </c>
    </row>
    <row r="63" spans="1:14" ht="19" x14ac:dyDescent="0.25">
      <c r="A63" s="5" t="s">
        <v>54</v>
      </c>
      <c r="B63" s="1" t="s">
        <v>91</v>
      </c>
      <c r="C63" s="1">
        <v>214200000</v>
      </c>
      <c r="D63" s="1">
        <v>100000</v>
      </c>
      <c r="E63" s="1">
        <v>76200000</v>
      </c>
      <c r="F63" s="1">
        <v>238200000</v>
      </c>
      <c r="G63" s="1">
        <v>204600000</v>
      </c>
      <c r="H63" s="1">
        <v>311900000</v>
      </c>
      <c r="I63" s="1">
        <v>276000000</v>
      </c>
      <c r="J63" s="1">
        <v>329000000</v>
      </c>
      <c r="K63" s="1">
        <v>387000000</v>
      </c>
      <c r="L63" s="1">
        <v>442000000</v>
      </c>
      <c r="M63" s="1">
        <v>514000000</v>
      </c>
      <c r="N63" s="1">
        <v>536000000</v>
      </c>
    </row>
    <row r="64" spans="1:14" ht="19" x14ac:dyDescent="0.25">
      <c r="A64" s="5" t="s">
        <v>55</v>
      </c>
      <c r="B64" s="1" t="s">
        <v>91</v>
      </c>
      <c r="C64" s="1">
        <v>321000000</v>
      </c>
      <c r="D64" s="1">
        <v>287300000</v>
      </c>
      <c r="E64" s="1">
        <v>206800000</v>
      </c>
      <c r="F64" s="1">
        <v>271000000</v>
      </c>
      <c r="G64" s="1">
        <v>301500000</v>
      </c>
      <c r="H64" s="1">
        <v>271100000</v>
      </c>
      <c r="I64" s="1">
        <v>214000000</v>
      </c>
      <c r="J64" s="1">
        <v>212000000</v>
      </c>
      <c r="K64" s="1">
        <v>249000000</v>
      </c>
      <c r="L64" s="1">
        <v>290000000</v>
      </c>
      <c r="M64" s="1">
        <v>247000000</v>
      </c>
      <c r="N64" s="1">
        <v>187000000</v>
      </c>
    </row>
    <row r="65" spans="1:14" ht="19" x14ac:dyDescent="0.25">
      <c r="A65" s="5" t="s">
        <v>56</v>
      </c>
      <c r="B65" s="1" t="s">
        <v>91</v>
      </c>
      <c r="C65" s="1">
        <v>3921000000</v>
      </c>
      <c r="D65" s="1">
        <v>3131300000</v>
      </c>
      <c r="E65" s="1">
        <v>2986600000</v>
      </c>
      <c r="F65" s="1">
        <v>3060500000</v>
      </c>
      <c r="G65" s="1">
        <v>2915200000</v>
      </c>
      <c r="H65" s="1">
        <v>2796100000</v>
      </c>
      <c r="I65" s="1">
        <v>3099000000</v>
      </c>
      <c r="J65" s="1">
        <v>3152000000</v>
      </c>
      <c r="K65" s="1">
        <v>3252000000</v>
      </c>
      <c r="L65" s="1">
        <v>3348000000</v>
      </c>
      <c r="M65" s="1">
        <v>3364000000</v>
      </c>
      <c r="N65" s="1">
        <v>3317000000</v>
      </c>
    </row>
    <row r="66" spans="1:1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row>
    <row r="67" spans="1:14" ht="19" x14ac:dyDescent="0.25">
      <c r="A67" s="6" t="s">
        <v>58</v>
      </c>
      <c r="B67" s="10" t="s">
        <v>91</v>
      </c>
      <c r="C67" s="10">
        <v>4370900000</v>
      </c>
      <c r="D67" s="10">
        <v>3509100000</v>
      </c>
      <c r="E67" s="10">
        <v>3373800000</v>
      </c>
      <c r="F67" s="10">
        <v>3406400000</v>
      </c>
      <c r="G67" s="10">
        <v>3219800000</v>
      </c>
      <c r="H67" s="10">
        <v>3138300000</v>
      </c>
      <c r="I67" s="10">
        <v>3516000000</v>
      </c>
      <c r="J67" s="10">
        <v>3578000000</v>
      </c>
      <c r="K67" s="10">
        <v>3669000000</v>
      </c>
      <c r="L67" s="10">
        <v>3721000000</v>
      </c>
      <c r="M67" s="10">
        <v>3823000000</v>
      </c>
      <c r="N67" s="10">
        <v>3797000000</v>
      </c>
    </row>
    <row r="68" spans="1:14" ht="19" x14ac:dyDescent="0.25">
      <c r="A68" s="5" t="s">
        <v>59</v>
      </c>
      <c r="B68" s="1" t="s">
        <v>91</v>
      </c>
      <c r="C68" s="1">
        <v>1800000</v>
      </c>
      <c r="D68" s="1">
        <v>1800000</v>
      </c>
      <c r="E68" s="1">
        <v>1800000</v>
      </c>
      <c r="F68" s="1">
        <v>1800000</v>
      </c>
      <c r="G68" s="1">
        <v>1700000</v>
      </c>
      <c r="H68" s="1">
        <v>1600000</v>
      </c>
      <c r="I68" s="1">
        <v>1000000</v>
      </c>
      <c r="J68" s="1">
        <v>1000000</v>
      </c>
      <c r="K68" s="1">
        <v>1000000</v>
      </c>
      <c r="L68" s="1">
        <v>1000000</v>
      </c>
      <c r="M68" s="1">
        <v>1000000</v>
      </c>
      <c r="N68" s="1">
        <v>1000000</v>
      </c>
    </row>
    <row r="69" spans="1:14" ht="19" x14ac:dyDescent="0.25">
      <c r="A69" s="5" t="s">
        <v>60</v>
      </c>
      <c r="B69" s="1" t="s">
        <v>91</v>
      </c>
      <c r="C69" s="1">
        <v>-683700000</v>
      </c>
      <c r="D69" s="1">
        <v>-202300000</v>
      </c>
      <c r="E69" s="1">
        <v>-173800000</v>
      </c>
      <c r="F69" s="1">
        <v>-215500000</v>
      </c>
      <c r="G69" s="1">
        <v>-444500000</v>
      </c>
      <c r="H69" s="1">
        <v>-586400000</v>
      </c>
      <c r="I69" s="1">
        <v>-1055000000</v>
      </c>
      <c r="J69" s="1">
        <v>-1100000000</v>
      </c>
      <c r="K69" s="1">
        <v>-970000000</v>
      </c>
      <c r="L69" s="1">
        <v>-974000000</v>
      </c>
      <c r="M69" s="1">
        <v>-1126000000</v>
      </c>
      <c r="N69" s="1">
        <v>-595000000</v>
      </c>
    </row>
    <row r="70" spans="1:14" ht="19" x14ac:dyDescent="0.25">
      <c r="A70" s="5" t="s">
        <v>61</v>
      </c>
      <c r="B70" s="1" t="s">
        <v>91</v>
      </c>
      <c r="C70" s="1">
        <v>-57000000</v>
      </c>
      <c r="D70" s="1">
        <v>-43900000</v>
      </c>
      <c r="E70" s="1">
        <v>-21000000</v>
      </c>
      <c r="F70" s="1">
        <v>-39500000</v>
      </c>
      <c r="G70" s="1">
        <v>-58800000</v>
      </c>
      <c r="H70" s="1">
        <v>-62900000</v>
      </c>
      <c r="I70" s="1">
        <v>-15000000</v>
      </c>
      <c r="J70" s="1">
        <v>-30000000</v>
      </c>
      <c r="K70" s="1">
        <v>-52000000</v>
      </c>
      <c r="L70" s="1">
        <v>-89000000</v>
      </c>
      <c r="M70" s="1">
        <v>-73000000</v>
      </c>
      <c r="N70" s="1">
        <v>-22000000</v>
      </c>
    </row>
    <row r="71" spans="1:14" ht="19" x14ac:dyDescent="0.25">
      <c r="A71" s="5" t="s">
        <v>62</v>
      </c>
      <c r="B71" s="1" t="s">
        <v>91</v>
      </c>
      <c r="C71" s="1">
        <v>1560600000</v>
      </c>
      <c r="D71" s="1">
        <v>1601300000</v>
      </c>
      <c r="E71" s="1">
        <v>1631800000</v>
      </c>
      <c r="F71" s="1">
        <v>1651000000</v>
      </c>
      <c r="G71" s="1">
        <v>1690200000</v>
      </c>
      <c r="H71" s="1">
        <v>1728000000</v>
      </c>
      <c r="I71" s="1">
        <v>1758000000</v>
      </c>
      <c r="J71" s="1">
        <v>1788000000</v>
      </c>
      <c r="K71" s="1">
        <v>1802000000</v>
      </c>
      <c r="L71" s="1">
        <v>1818000000</v>
      </c>
      <c r="M71" s="1">
        <v>1832000000</v>
      </c>
      <c r="N71" s="1">
        <v>1469000000</v>
      </c>
    </row>
    <row r="72" spans="1:14" ht="19" x14ac:dyDescent="0.25">
      <c r="A72" s="6" t="s">
        <v>63</v>
      </c>
      <c r="B72" s="10" t="s">
        <v>91</v>
      </c>
      <c r="C72" s="10">
        <v>821700000</v>
      </c>
      <c r="D72" s="10">
        <v>1356900000</v>
      </c>
      <c r="E72" s="10">
        <v>1438800000</v>
      </c>
      <c r="F72" s="10">
        <v>1397800000</v>
      </c>
      <c r="G72" s="10">
        <v>1188600000</v>
      </c>
      <c r="H72" s="10">
        <v>1080300000</v>
      </c>
      <c r="I72" s="10">
        <v>689000000</v>
      </c>
      <c r="J72" s="10">
        <v>659000000</v>
      </c>
      <c r="K72" s="10">
        <v>781000000</v>
      </c>
      <c r="L72" s="10">
        <v>756000000</v>
      </c>
      <c r="M72" s="10">
        <v>634000000</v>
      </c>
      <c r="N72" s="10">
        <v>874000000</v>
      </c>
    </row>
    <row r="73" spans="1:14" ht="20" thickBot="1" x14ac:dyDescent="0.3">
      <c r="A73" s="7" t="s">
        <v>64</v>
      </c>
      <c r="B73" s="11" t="s">
        <v>91</v>
      </c>
      <c r="C73" s="11">
        <v>5192600000</v>
      </c>
      <c r="D73" s="11">
        <v>4866000000</v>
      </c>
      <c r="E73" s="11">
        <v>4812600000</v>
      </c>
      <c r="F73" s="11">
        <v>4804200000</v>
      </c>
      <c r="G73" s="11">
        <v>4408400000</v>
      </c>
      <c r="H73" s="11">
        <v>4218600000</v>
      </c>
      <c r="I73" s="11">
        <v>4205000000</v>
      </c>
      <c r="J73" s="11">
        <v>4237000000</v>
      </c>
      <c r="K73" s="11">
        <v>4450000000</v>
      </c>
      <c r="L73" s="11">
        <v>4477000000</v>
      </c>
      <c r="M73" s="11">
        <v>4457000000</v>
      </c>
      <c r="N73" s="11">
        <v>4671000000</v>
      </c>
    </row>
    <row r="74" spans="1:1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row>
    <row r="75" spans="1:1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row>
    <row r="76" spans="1:14" ht="19" x14ac:dyDescent="0.25">
      <c r="A76" s="5" t="s">
        <v>66</v>
      </c>
      <c r="B76" s="1">
        <v>29600000</v>
      </c>
      <c r="C76" s="1">
        <v>103000000</v>
      </c>
      <c r="D76" s="1">
        <v>514200000</v>
      </c>
      <c r="E76" s="1">
        <v>165400000</v>
      </c>
      <c r="F76" s="1">
        <v>228600000</v>
      </c>
      <c r="G76" s="1">
        <v>182300000</v>
      </c>
      <c r="H76" s="1">
        <v>214900000</v>
      </c>
      <c r="I76" s="1">
        <v>504000000</v>
      </c>
      <c r="J76" s="1">
        <v>639000000</v>
      </c>
      <c r="K76" s="1">
        <v>604000000</v>
      </c>
      <c r="L76" s="1">
        <v>299000000</v>
      </c>
      <c r="M76" s="1">
        <v>442000000</v>
      </c>
      <c r="N76" s="1">
        <v>531000000</v>
      </c>
    </row>
    <row r="77" spans="1:14" ht="19" x14ac:dyDescent="0.25">
      <c r="A77" s="5" t="s">
        <v>13</v>
      </c>
      <c r="B77" s="1">
        <v>253800000</v>
      </c>
      <c r="C77" s="1">
        <v>255700000</v>
      </c>
      <c r="D77" s="1">
        <v>252500000</v>
      </c>
      <c r="E77" s="1">
        <v>204000000</v>
      </c>
      <c r="F77" s="1">
        <v>192600000</v>
      </c>
      <c r="G77" s="1">
        <v>185400000</v>
      </c>
      <c r="H77" s="1">
        <v>175900000</v>
      </c>
      <c r="I77" s="1">
        <v>170000000</v>
      </c>
      <c r="J77" s="1">
        <v>164000000</v>
      </c>
      <c r="K77" s="1">
        <v>167000000</v>
      </c>
      <c r="L77" s="1">
        <v>148000000</v>
      </c>
      <c r="M77" s="1">
        <v>150000000</v>
      </c>
      <c r="N77" s="1">
        <v>155000000</v>
      </c>
    </row>
    <row r="78" spans="1:14" ht="19" x14ac:dyDescent="0.25">
      <c r="A78" s="5" t="s">
        <v>67</v>
      </c>
      <c r="B78" s="1">
        <v>51500000</v>
      </c>
      <c r="C78" s="1">
        <v>39800000</v>
      </c>
      <c r="D78" s="1">
        <v>-303800000</v>
      </c>
      <c r="E78" s="1">
        <v>98000000</v>
      </c>
      <c r="F78" s="1">
        <v>131800000</v>
      </c>
      <c r="G78" s="1">
        <v>96000000</v>
      </c>
      <c r="H78" s="1">
        <v>114200000</v>
      </c>
      <c r="I78" s="1">
        <v>-50000000</v>
      </c>
      <c r="J78" s="1">
        <v>52000000</v>
      </c>
      <c r="K78" s="1">
        <v>65000000</v>
      </c>
      <c r="L78" s="1">
        <v>69000000</v>
      </c>
      <c r="M78" s="1">
        <v>64000000</v>
      </c>
      <c r="N78" s="1">
        <v>-4000000</v>
      </c>
    </row>
    <row r="79" spans="1:14" ht="19" x14ac:dyDescent="0.25">
      <c r="A79" s="5" t="s">
        <v>68</v>
      </c>
      <c r="B79" s="1">
        <v>8500000</v>
      </c>
      <c r="C79" s="1">
        <v>8000000</v>
      </c>
      <c r="D79" s="1">
        <v>6400000</v>
      </c>
      <c r="E79" s="1">
        <v>13700000</v>
      </c>
      <c r="F79" s="1">
        <v>14700000</v>
      </c>
      <c r="G79" s="1">
        <v>9800000</v>
      </c>
      <c r="H79" s="1">
        <v>9400000</v>
      </c>
      <c r="I79" s="1">
        <v>12000000</v>
      </c>
      <c r="J79" s="1">
        <v>13000000</v>
      </c>
      <c r="K79" s="1">
        <v>13000000</v>
      </c>
      <c r="L79" s="1">
        <v>17000000</v>
      </c>
      <c r="M79" s="1">
        <v>14000000</v>
      </c>
      <c r="N79" s="1">
        <v>18000000</v>
      </c>
    </row>
    <row r="80" spans="1:14" ht="19" x14ac:dyDescent="0.25">
      <c r="A80" s="15" t="s">
        <v>104</v>
      </c>
      <c r="B80" s="16">
        <f t="shared" ref="B80:N80" si="9">B79/B3</f>
        <v>4.4126044749000677E-3</v>
      </c>
      <c r="C80" s="16">
        <f t="shared" si="9"/>
        <v>3.6989088218975404E-3</v>
      </c>
      <c r="D80" s="16">
        <f t="shared" si="9"/>
        <v>2.9881408161359603E-3</v>
      </c>
      <c r="E80" s="16">
        <f t="shared" si="9"/>
        <v>7.11023458584181E-3</v>
      </c>
      <c r="F80" s="16">
        <f t="shared" si="9"/>
        <v>6.9098430008461033E-3</v>
      </c>
      <c r="G80" s="16">
        <f t="shared" si="9"/>
        <v>4.9350387753046634E-3</v>
      </c>
      <c r="H80" s="16">
        <f t="shared" si="9"/>
        <v>5.1081404195196176E-3</v>
      </c>
      <c r="I80" s="16">
        <f t="shared" si="9"/>
        <v>5.3050397877984082E-3</v>
      </c>
      <c r="J80" s="16">
        <f t="shared" si="9"/>
        <v>4.7917434574272022E-3</v>
      </c>
      <c r="K80" s="16">
        <f t="shared" si="9"/>
        <v>4.8183839881393627E-3</v>
      </c>
      <c r="L80" s="16">
        <f t="shared" si="9"/>
        <v>8.1691494473810668E-3</v>
      </c>
      <c r="M80" s="16">
        <f t="shared" si="9"/>
        <v>5.8284762697751874E-3</v>
      </c>
      <c r="N80" s="16">
        <f t="shared" si="9"/>
        <v>6.5005417118093175E-3</v>
      </c>
    </row>
    <row r="81" spans="1:22" ht="19" x14ac:dyDescent="0.25">
      <c r="A81" s="5" t="s">
        <v>69</v>
      </c>
      <c r="B81" s="1">
        <v>6300000</v>
      </c>
      <c r="C81" s="1">
        <v>-34800000</v>
      </c>
      <c r="D81" s="1">
        <v>6600000</v>
      </c>
      <c r="E81" s="1">
        <v>100000</v>
      </c>
      <c r="F81" s="1">
        <v>-12700000</v>
      </c>
      <c r="G81" s="1">
        <v>-16800000</v>
      </c>
      <c r="H81" s="1">
        <v>64700000</v>
      </c>
      <c r="I81" s="1">
        <v>-3000000</v>
      </c>
      <c r="J81" s="1">
        <v>-48000000</v>
      </c>
      <c r="K81" s="1">
        <v>-15000000</v>
      </c>
      <c r="L81" s="1">
        <v>2000000</v>
      </c>
      <c r="M81" s="1">
        <v>-32000000</v>
      </c>
      <c r="N81" s="1">
        <v>657000000</v>
      </c>
    </row>
    <row r="82" spans="1:22" ht="19" x14ac:dyDescent="0.25">
      <c r="A82" s="5" t="s">
        <v>70</v>
      </c>
      <c r="B82" s="1">
        <v>23700000</v>
      </c>
      <c r="C82" s="1">
        <v>-25000000</v>
      </c>
      <c r="D82" s="1">
        <v>29900000</v>
      </c>
      <c r="E82" s="1">
        <v>-9900000</v>
      </c>
      <c r="F82" s="1">
        <v>-35800000</v>
      </c>
      <c r="G82" s="1">
        <v>9000000</v>
      </c>
      <c r="H82" s="1">
        <v>-3700000</v>
      </c>
      <c r="I82" s="1">
        <v>-19000000</v>
      </c>
      <c r="J82" s="1">
        <v>-61000000</v>
      </c>
      <c r="K82" s="1">
        <v>37000000</v>
      </c>
      <c r="L82" s="1">
        <v>28000000</v>
      </c>
      <c r="M82" s="1">
        <v>-78000000</v>
      </c>
      <c r="N82" s="1">
        <v>-70000000</v>
      </c>
    </row>
    <row r="83" spans="1:22" ht="21" x14ac:dyDescent="0.25">
      <c r="A83" s="5" t="s">
        <v>34</v>
      </c>
      <c r="B83" s="1">
        <v>-11800000</v>
      </c>
      <c r="C83" s="1">
        <v>-11000000</v>
      </c>
      <c r="D83" s="1">
        <v>-1800000</v>
      </c>
      <c r="E83" s="1">
        <v>-4400000</v>
      </c>
      <c r="F83" s="1">
        <v>12700000</v>
      </c>
      <c r="G83" s="1">
        <v>-2200000</v>
      </c>
      <c r="H83" s="1">
        <v>15400000</v>
      </c>
      <c r="I83" s="1">
        <v>-25000000</v>
      </c>
      <c r="J83" s="1">
        <v>-18000000</v>
      </c>
      <c r="K83" s="1">
        <v>-11000000</v>
      </c>
      <c r="L83" s="1">
        <v>21000000</v>
      </c>
      <c r="M83" s="1">
        <v>-26000000</v>
      </c>
      <c r="N83" s="1">
        <v>-25000000</v>
      </c>
      <c r="U83" s="68" t="s">
        <v>133</v>
      </c>
      <c r="V83" s="69"/>
    </row>
    <row r="84" spans="1:22" ht="19" x14ac:dyDescent="0.25">
      <c r="A84" s="5" t="s">
        <v>47</v>
      </c>
      <c r="B84" s="1">
        <v>3200000</v>
      </c>
      <c r="C84" s="1">
        <v>24900000</v>
      </c>
      <c r="D84" s="1">
        <v>-29400000</v>
      </c>
      <c r="E84" s="1">
        <v>17600000</v>
      </c>
      <c r="F84" s="1">
        <v>2100000</v>
      </c>
      <c r="G84" s="1">
        <v>-25100000</v>
      </c>
      <c r="H84" s="1">
        <v>1900000</v>
      </c>
      <c r="I84" s="1">
        <v>30000000</v>
      </c>
      <c r="J84" s="1">
        <v>9000000</v>
      </c>
      <c r="K84" s="1">
        <v>-25000000</v>
      </c>
      <c r="L84" s="1">
        <v>-4000000</v>
      </c>
      <c r="M84" s="1">
        <v>24000000</v>
      </c>
      <c r="N84" s="1">
        <v>15000000</v>
      </c>
      <c r="U84" s="70" t="s">
        <v>134</v>
      </c>
      <c r="V84" s="71"/>
    </row>
    <row r="85" spans="1:22" ht="20" x14ac:dyDescent="0.25">
      <c r="A85" s="5" t="s">
        <v>71</v>
      </c>
      <c r="B85" s="1">
        <v>-8800000</v>
      </c>
      <c r="C85" s="1">
        <v>-23700000</v>
      </c>
      <c r="D85" s="1">
        <v>7900000</v>
      </c>
      <c r="E85" s="1">
        <v>-3200000</v>
      </c>
      <c r="F85" s="1">
        <v>8300000</v>
      </c>
      <c r="G85" s="1">
        <v>1500000</v>
      </c>
      <c r="H85" s="1">
        <v>51100000</v>
      </c>
      <c r="I85" s="1">
        <v>11000000</v>
      </c>
      <c r="J85" s="1">
        <v>22000000</v>
      </c>
      <c r="K85" s="1">
        <v>-16000000</v>
      </c>
      <c r="L85" s="1">
        <v>-43000000</v>
      </c>
      <c r="M85" s="1">
        <v>48000000</v>
      </c>
      <c r="N85" s="1" t="s">
        <v>91</v>
      </c>
      <c r="U85" s="24" t="s">
        <v>135</v>
      </c>
      <c r="V85" s="25">
        <f>N17</f>
        <v>118000000</v>
      </c>
    </row>
    <row r="86" spans="1:22" ht="20" x14ac:dyDescent="0.25">
      <c r="A86" s="5" t="s">
        <v>72</v>
      </c>
      <c r="B86" s="1">
        <v>39200000</v>
      </c>
      <c r="C86" s="1">
        <v>97500000</v>
      </c>
      <c r="D86" s="1">
        <v>21600000</v>
      </c>
      <c r="E86" s="1">
        <v>-27700000</v>
      </c>
      <c r="F86" s="1">
        <v>1900000</v>
      </c>
      <c r="G86" s="1">
        <v>123200000</v>
      </c>
      <c r="H86" s="1">
        <v>11700000</v>
      </c>
      <c r="I86" s="1">
        <v>25000000</v>
      </c>
      <c r="J86" s="1">
        <v>17000000</v>
      </c>
      <c r="K86" s="1">
        <v>13000000</v>
      </c>
      <c r="L86" s="1">
        <v>26000000</v>
      </c>
      <c r="M86" s="1">
        <v>-3000000</v>
      </c>
      <c r="N86" s="1" t="s">
        <v>91</v>
      </c>
      <c r="U86" s="24" t="s">
        <v>136</v>
      </c>
      <c r="V86" s="25">
        <f>N56</f>
        <v>6000000</v>
      </c>
    </row>
    <row r="87" spans="1:22" ht="20" x14ac:dyDescent="0.25">
      <c r="A87" s="6" t="s">
        <v>73</v>
      </c>
      <c r="B87" s="10">
        <v>388900000</v>
      </c>
      <c r="C87" s="10">
        <v>469200000</v>
      </c>
      <c r="D87" s="10">
        <v>497500000</v>
      </c>
      <c r="E87" s="10">
        <v>453500000</v>
      </c>
      <c r="F87" s="10">
        <v>556900000</v>
      </c>
      <c r="G87" s="10">
        <v>579900000</v>
      </c>
      <c r="H87" s="10">
        <v>590800000</v>
      </c>
      <c r="I87" s="10">
        <v>658000000</v>
      </c>
      <c r="J87" s="10">
        <v>837000000</v>
      </c>
      <c r="K87" s="10">
        <v>847000000</v>
      </c>
      <c r="L87" s="10">
        <v>561000000</v>
      </c>
      <c r="M87" s="10">
        <v>635000000</v>
      </c>
      <c r="N87" s="10">
        <v>657000000</v>
      </c>
      <c r="U87" s="24" t="s">
        <v>137</v>
      </c>
      <c r="V87" s="25">
        <f>N61</f>
        <v>2501000000</v>
      </c>
    </row>
    <row r="88" spans="1:22" ht="20" x14ac:dyDescent="0.25">
      <c r="A88" s="5" t="s">
        <v>74</v>
      </c>
      <c r="B88" s="1" t="s">
        <v>91</v>
      </c>
      <c r="C88" s="1">
        <v>-96900000</v>
      </c>
      <c r="D88" s="1">
        <v>-123300000</v>
      </c>
      <c r="E88" s="1">
        <v>-73900000</v>
      </c>
      <c r="F88" s="1">
        <v>-63800000</v>
      </c>
      <c r="G88" s="1">
        <v>-57800000</v>
      </c>
      <c r="H88" s="1">
        <v>-70400000</v>
      </c>
      <c r="I88" s="1">
        <v>-91000000</v>
      </c>
      <c r="J88" s="1">
        <v>-100000000</v>
      </c>
      <c r="K88" s="1">
        <v>-172000000</v>
      </c>
      <c r="L88" s="1">
        <v>-115000000</v>
      </c>
      <c r="M88" s="1">
        <v>-175000000</v>
      </c>
      <c r="N88" s="1">
        <v>-160000000</v>
      </c>
      <c r="U88" s="44" t="s">
        <v>138</v>
      </c>
      <c r="V88" s="45">
        <f>V85/(V86+V87)</f>
        <v>4.7068209014758673E-2</v>
      </c>
    </row>
    <row r="89" spans="1:22" ht="20" customHeight="1" x14ac:dyDescent="0.25">
      <c r="A89" s="15" t="s">
        <v>105</v>
      </c>
      <c r="B89" s="16" t="e">
        <f t="shared" ref="B89:N89" si="10">(-1*B88)/B3</f>
        <v>#VALUE!</v>
      </c>
      <c r="C89" s="16">
        <f t="shared" si="10"/>
        <v>4.4803033105233953E-2</v>
      </c>
      <c r="D89" s="16">
        <f t="shared" si="10"/>
        <v>5.7568400410869365E-2</v>
      </c>
      <c r="E89" s="16">
        <f t="shared" si="10"/>
        <v>3.8353747145526258E-2</v>
      </c>
      <c r="F89" s="16">
        <f t="shared" si="10"/>
        <v>2.9989658738366079E-2</v>
      </c>
      <c r="G89" s="16">
        <f t="shared" si="10"/>
        <v>2.9106657266592808E-2</v>
      </c>
      <c r="H89" s="16">
        <f t="shared" si="10"/>
        <v>3.8256711227040538E-2</v>
      </c>
      <c r="I89" s="16">
        <f t="shared" si="10"/>
        <v>4.0229885057471264E-2</v>
      </c>
      <c r="J89" s="16">
        <f t="shared" si="10"/>
        <v>3.6859565057132324E-2</v>
      </c>
      <c r="K89" s="16">
        <f t="shared" si="10"/>
        <v>6.3750926612305414E-2</v>
      </c>
      <c r="L89" s="16">
        <f t="shared" si="10"/>
        <v>5.5261893320518979E-2</v>
      </c>
      <c r="M89" s="16">
        <f t="shared" si="10"/>
        <v>7.2855953372189836E-2</v>
      </c>
      <c r="N89" s="16">
        <f t="shared" si="10"/>
        <v>5.7782592993860599E-2</v>
      </c>
      <c r="U89" s="24" t="s">
        <v>106</v>
      </c>
      <c r="V89" s="25">
        <f>N27</f>
        <v>114000000</v>
      </c>
    </row>
    <row r="90" spans="1:22" ht="20" x14ac:dyDescent="0.25">
      <c r="A90" s="5" t="s">
        <v>75</v>
      </c>
      <c r="B90" s="1" t="s">
        <v>91</v>
      </c>
      <c r="C90" s="1" t="s">
        <v>91</v>
      </c>
      <c r="D90" s="1" t="s">
        <v>91</v>
      </c>
      <c r="E90" s="1" t="s">
        <v>91</v>
      </c>
      <c r="F90" s="1" t="s">
        <v>91</v>
      </c>
      <c r="G90" s="1" t="s">
        <v>91</v>
      </c>
      <c r="H90" s="1" t="s">
        <v>91</v>
      </c>
      <c r="I90" s="1" t="s">
        <v>91</v>
      </c>
      <c r="J90" s="1" t="s">
        <v>91</v>
      </c>
      <c r="K90" s="1">
        <v>-232000000</v>
      </c>
      <c r="L90" s="1">
        <v>4000000</v>
      </c>
      <c r="M90" s="1" t="s">
        <v>91</v>
      </c>
      <c r="N90" s="1">
        <v>-23000000</v>
      </c>
      <c r="U90" s="24" t="s">
        <v>19</v>
      </c>
      <c r="V90" s="25">
        <f>N25</f>
        <v>645000000</v>
      </c>
    </row>
    <row r="91" spans="1:22" ht="20" x14ac:dyDescent="0.25">
      <c r="A91" s="5" t="s">
        <v>76</v>
      </c>
      <c r="B91" s="1">
        <v>-21800000</v>
      </c>
      <c r="C91" s="1" t="s">
        <v>91</v>
      </c>
      <c r="D91" s="1">
        <v>-15400000</v>
      </c>
      <c r="E91" s="1">
        <v>-8800000</v>
      </c>
      <c r="F91" s="1">
        <v>-4100000</v>
      </c>
      <c r="G91" s="1">
        <v>-1900000</v>
      </c>
      <c r="H91" s="1">
        <v>-1000000</v>
      </c>
      <c r="I91" s="1">
        <v>-3000000</v>
      </c>
      <c r="J91" s="1">
        <v>-3000000</v>
      </c>
      <c r="K91" s="1">
        <v>-1000000</v>
      </c>
      <c r="L91" s="1" t="s">
        <v>91</v>
      </c>
      <c r="M91" s="1">
        <v>-41000000</v>
      </c>
      <c r="N91" s="1" t="s">
        <v>91</v>
      </c>
      <c r="U91" s="44" t="s">
        <v>139</v>
      </c>
      <c r="V91" s="45">
        <f>V89/V90</f>
        <v>0.17674418604651163</v>
      </c>
    </row>
    <row r="92" spans="1:22" ht="20" x14ac:dyDescent="0.25">
      <c r="A92" s="5" t="s">
        <v>77</v>
      </c>
      <c r="B92" s="1" t="s">
        <v>91</v>
      </c>
      <c r="C92" s="1" t="s">
        <v>91</v>
      </c>
      <c r="D92" s="1" t="s">
        <v>91</v>
      </c>
      <c r="E92" s="1">
        <v>1200000</v>
      </c>
      <c r="F92" s="1" t="s">
        <v>91</v>
      </c>
      <c r="G92" s="1" t="s">
        <v>91</v>
      </c>
      <c r="H92" s="1" t="s">
        <v>91</v>
      </c>
      <c r="I92" s="1" t="s">
        <v>91</v>
      </c>
      <c r="J92" s="1" t="s">
        <v>91</v>
      </c>
      <c r="K92" s="1" t="s">
        <v>91</v>
      </c>
      <c r="L92" s="1" t="s">
        <v>91</v>
      </c>
      <c r="M92" s="1">
        <v>4000000</v>
      </c>
      <c r="N92" s="1" t="s">
        <v>91</v>
      </c>
      <c r="U92" s="46" t="s">
        <v>140</v>
      </c>
      <c r="V92" s="47">
        <f>V88*(1-V91)</f>
        <v>3.8749176723778068E-2</v>
      </c>
    </row>
    <row r="93" spans="1:22" ht="19" x14ac:dyDescent="0.25">
      <c r="A93" s="5" t="s">
        <v>78</v>
      </c>
      <c r="B93" s="1">
        <v>-73500000</v>
      </c>
      <c r="C93" s="1">
        <v>41000000</v>
      </c>
      <c r="D93" s="1">
        <v>-123300000</v>
      </c>
      <c r="E93" s="1">
        <v>-73900000</v>
      </c>
      <c r="F93" s="1">
        <v>-63800000</v>
      </c>
      <c r="G93" s="1">
        <v>-57800000</v>
      </c>
      <c r="H93" s="1">
        <v>-70400000</v>
      </c>
      <c r="I93" s="1">
        <v>-91000000</v>
      </c>
      <c r="J93" s="1">
        <v>-100000000</v>
      </c>
      <c r="K93" s="1">
        <v>-172000000</v>
      </c>
      <c r="L93" s="1" t="s">
        <v>91</v>
      </c>
      <c r="M93" s="1" t="s">
        <v>91</v>
      </c>
      <c r="N93" s="1">
        <v>-160000000</v>
      </c>
      <c r="U93" s="70" t="s">
        <v>141</v>
      </c>
      <c r="V93" s="71"/>
    </row>
    <row r="94" spans="1:22" ht="20" x14ac:dyDescent="0.25">
      <c r="A94" s="6" t="s">
        <v>79</v>
      </c>
      <c r="B94" s="10">
        <v>-95300000</v>
      </c>
      <c r="C94" s="10">
        <v>-55900000</v>
      </c>
      <c r="D94" s="10">
        <v>-138700000</v>
      </c>
      <c r="E94" s="10">
        <v>-81500000</v>
      </c>
      <c r="F94" s="10">
        <v>-67900000</v>
      </c>
      <c r="G94" s="10">
        <v>-59700000</v>
      </c>
      <c r="H94" s="10">
        <v>-71400000</v>
      </c>
      <c r="I94" s="10">
        <v>-94000000</v>
      </c>
      <c r="J94" s="10">
        <v>-103000000</v>
      </c>
      <c r="K94" s="10">
        <v>-405000000</v>
      </c>
      <c r="L94" s="10">
        <v>-111000000</v>
      </c>
      <c r="M94" s="10">
        <v>-212000000</v>
      </c>
      <c r="N94" s="10">
        <v>-183000000</v>
      </c>
      <c r="U94" s="24" t="s">
        <v>142</v>
      </c>
      <c r="V94" s="48">
        <f>[1]Treasuries!$C$8</f>
        <v>3.7280000000000001E-2</v>
      </c>
    </row>
    <row r="95" spans="1:22" ht="20" x14ac:dyDescent="0.25">
      <c r="A95" s="5" t="s">
        <v>80</v>
      </c>
      <c r="B95" s="1">
        <v>-197900000</v>
      </c>
      <c r="C95" s="1">
        <v>-854900000</v>
      </c>
      <c r="D95" s="1">
        <v>-574800000</v>
      </c>
      <c r="E95" s="1">
        <v>-142400000</v>
      </c>
      <c r="F95" s="1">
        <v>-157600000</v>
      </c>
      <c r="G95" s="1">
        <v>-607700000</v>
      </c>
      <c r="H95" s="1">
        <v>-1215200000</v>
      </c>
      <c r="I95" s="1">
        <v>-427000000</v>
      </c>
      <c r="J95" s="1">
        <v>-28000000</v>
      </c>
      <c r="K95" s="1">
        <v>-1241000000</v>
      </c>
      <c r="L95" s="1">
        <v>-1819000000</v>
      </c>
      <c r="M95" s="1">
        <v>-7000000</v>
      </c>
      <c r="N95" s="1">
        <v>-7000000</v>
      </c>
      <c r="U95" s="24" t="s">
        <v>143</v>
      </c>
      <c r="V95" s="49" cm="1">
        <f t="array" ref="V95">_FV(A1,"Beta")</f>
        <v>0.998</v>
      </c>
    </row>
    <row r="96" spans="1:22" ht="20" x14ac:dyDescent="0.25">
      <c r="A96" s="5" t="s">
        <v>81</v>
      </c>
      <c r="B96" s="1" t="s">
        <v>91</v>
      </c>
      <c r="C96" s="1" t="s">
        <v>91</v>
      </c>
      <c r="D96" s="1">
        <v>29000000</v>
      </c>
      <c r="E96" s="1" t="s">
        <v>91</v>
      </c>
      <c r="F96" s="1" t="s">
        <v>91</v>
      </c>
      <c r="G96" s="1" t="s">
        <v>91</v>
      </c>
      <c r="H96" s="1" t="s">
        <v>91</v>
      </c>
      <c r="I96" s="1" t="s">
        <v>91</v>
      </c>
      <c r="J96" s="1" t="s">
        <v>91</v>
      </c>
      <c r="K96" s="1" t="s">
        <v>91</v>
      </c>
      <c r="L96" s="1" t="s">
        <v>91</v>
      </c>
      <c r="M96" s="1">
        <v>3000000</v>
      </c>
      <c r="N96" s="1" t="s">
        <v>91</v>
      </c>
      <c r="U96" s="24" t="s">
        <v>144</v>
      </c>
      <c r="V96" s="48">
        <v>8.4000000000000005E-2</v>
      </c>
    </row>
    <row r="97" spans="1:22" ht="20" x14ac:dyDescent="0.25">
      <c r="A97" s="5" t="s">
        <v>82</v>
      </c>
      <c r="B97" s="1" t="s">
        <v>91</v>
      </c>
      <c r="C97" s="1" t="s">
        <v>91</v>
      </c>
      <c r="D97" s="1" t="s">
        <v>91</v>
      </c>
      <c r="E97" s="1">
        <v>-99500000</v>
      </c>
      <c r="F97" s="1">
        <v>-249800000</v>
      </c>
      <c r="G97" s="1">
        <v>-305800000</v>
      </c>
      <c r="H97" s="1">
        <v>-256200000</v>
      </c>
      <c r="I97" s="1">
        <v>-885000000</v>
      </c>
      <c r="J97" s="1">
        <v>-609000000</v>
      </c>
      <c r="K97" s="1">
        <v>-393000000</v>
      </c>
      <c r="L97" s="1">
        <v>-225000000</v>
      </c>
      <c r="M97" s="1">
        <v>-513000000</v>
      </c>
      <c r="N97" s="1">
        <v>-278000000</v>
      </c>
      <c r="U97" s="46" t="s">
        <v>145</v>
      </c>
      <c r="V97" s="47">
        <f>(V94)+((V95)*(V96-V94))</f>
        <v>8.3906560000000005E-2</v>
      </c>
    </row>
    <row r="98" spans="1:22" ht="19" x14ac:dyDescent="0.25">
      <c r="A98" s="5" t="s">
        <v>83</v>
      </c>
      <c r="B98" s="1" t="s">
        <v>91</v>
      </c>
      <c r="C98" s="1" t="s">
        <v>91</v>
      </c>
      <c r="D98" s="1">
        <v>-32800000</v>
      </c>
      <c r="E98" s="1">
        <v>-77100000</v>
      </c>
      <c r="F98" s="1">
        <v>-91600000</v>
      </c>
      <c r="G98" s="1">
        <v>-105600000</v>
      </c>
      <c r="H98" s="1">
        <v>-100600000</v>
      </c>
      <c r="I98" s="1">
        <v>-89000000</v>
      </c>
      <c r="J98" s="1">
        <v>-80000000</v>
      </c>
      <c r="K98" s="1">
        <v>-73000000</v>
      </c>
      <c r="L98" s="1">
        <v>-78000000</v>
      </c>
      <c r="M98" s="1">
        <v>-81000000</v>
      </c>
      <c r="N98" s="1">
        <v>-80000000</v>
      </c>
      <c r="U98" s="70" t="s">
        <v>146</v>
      </c>
      <c r="V98" s="71"/>
    </row>
    <row r="99" spans="1:22" ht="20" x14ac:dyDescent="0.25">
      <c r="A99" s="5" t="s">
        <v>84</v>
      </c>
      <c r="B99" s="1" t="s">
        <v>91</v>
      </c>
      <c r="C99" s="1">
        <v>485000000</v>
      </c>
      <c r="D99" s="1">
        <v>-14900000</v>
      </c>
      <c r="E99" s="1">
        <v>41500000</v>
      </c>
      <c r="F99" s="1">
        <v>74900000</v>
      </c>
      <c r="G99" s="1">
        <v>490400000</v>
      </c>
      <c r="H99" s="1">
        <v>1007300000</v>
      </c>
      <c r="I99" s="1">
        <v>827000000</v>
      </c>
      <c r="J99" s="1">
        <v>17000000</v>
      </c>
      <c r="K99" s="1">
        <v>1227000000</v>
      </c>
      <c r="L99" s="1">
        <v>1787000000</v>
      </c>
      <c r="M99" s="1">
        <v>-6000000</v>
      </c>
      <c r="N99" s="1">
        <v>-367000000</v>
      </c>
      <c r="U99" s="24" t="s">
        <v>147</v>
      </c>
      <c r="V99" s="25">
        <f>V86+V87</f>
        <v>2507000000</v>
      </c>
    </row>
    <row r="100" spans="1:22" ht="20" x14ac:dyDescent="0.25">
      <c r="A100" s="6" t="s">
        <v>85</v>
      </c>
      <c r="B100" s="10">
        <v>-197900000</v>
      </c>
      <c r="C100" s="10">
        <v>-369900000</v>
      </c>
      <c r="D100" s="10">
        <v>-593500000</v>
      </c>
      <c r="E100" s="10">
        <v>-277500000</v>
      </c>
      <c r="F100" s="10">
        <v>-424100000</v>
      </c>
      <c r="G100" s="10">
        <v>-528700000</v>
      </c>
      <c r="H100" s="10">
        <v>-564700000</v>
      </c>
      <c r="I100" s="10">
        <v>-574000000</v>
      </c>
      <c r="J100" s="10">
        <v>-700000000</v>
      </c>
      <c r="K100" s="10">
        <v>-480000000</v>
      </c>
      <c r="L100" s="10">
        <v>-335000000</v>
      </c>
      <c r="M100" s="10">
        <v>-604000000</v>
      </c>
      <c r="N100" s="10">
        <v>-367000000</v>
      </c>
      <c r="U100" s="44" t="s">
        <v>148</v>
      </c>
      <c r="V100" s="45">
        <f>V99/V103</f>
        <v>0.33731702951185882</v>
      </c>
    </row>
    <row r="101" spans="1:22" ht="20" x14ac:dyDescent="0.25">
      <c r="A101" s="5" t="s">
        <v>86</v>
      </c>
      <c r="B101" s="1">
        <v>3400000</v>
      </c>
      <c r="C101" s="1">
        <v>18400000</v>
      </c>
      <c r="D101" s="1">
        <v>900000</v>
      </c>
      <c r="E101" s="1">
        <v>10000000</v>
      </c>
      <c r="F101" s="1">
        <v>13400000</v>
      </c>
      <c r="G101" s="1">
        <v>-2900000</v>
      </c>
      <c r="H101" s="1">
        <v>-1600000</v>
      </c>
      <c r="I101" s="1">
        <v>4000000</v>
      </c>
      <c r="J101" s="1">
        <v>-2000000</v>
      </c>
      <c r="K101" s="1">
        <v>-1000000</v>
      </c>
      <c r="L101" s="1">
        <v>3000000</v>
      </c>
      <c r="M101" s="1">
        <v>-2000000</v>
      </c>
      <c r="N101" s="1">
        <v>-2000000</v>
      </c>
      <c r="U101" s="24" t="s">
        <v>149</v>
      </c>
      <c r="V101" s="50" cm="1">
        <f t="array" ref="V101">_FV(A1,"Market cap",TRUE)</f>
        <v>4925177390</v>
      </c>
    </row>
    <row r="102" spans="1:22" ht="20" x14ac:dyDescent="0.25">
      <c r="A102" s="6" t="s">
        <v>87</v>
      </c>
      <c r="B102" s="10">
        <v>99100000</v>
      </c>
      <c r="C102" s="10">
        <v>61800000</v>
      </c>
      <c r="D102" s="10">
        <v>-233800000</v>
      </c>
      <c r="E102" s="10">
        <v>104500000</v>
      </c>
      <c r="F102" s="10">
        <v>78300000</v>
      </c>
      <c r="G102" s="10">
        <v>-11400000</v>
      </c>
      <c r="H102" s="10">
        <v>-46900000</v>
      </c>
      <c r="I102" s="10">
        <v>-6000000</v>
      </c>
      <c r="J102" s="10">
        <v>32000000</v>
      </c>
      <c r="K102" s="10">
        <v>-39000000</v>
      </c>
      <c r="L102" s="10">
        <v>118000000</v>
      </c>
      <c r="M102" s="10">
        <v>-183000000</v>
      </c>
      <c r="N102" s="10">
        <v>105000000</v>
      </c>
      <c r="U102" s="44" t="s">
        <v>150</v>
      </c>
      <c r="V102" s="45">
        <f>V101/V103</f>
        <v>0.66268297048814118</v>
      </c>
    </row>
    <row r="103" spans="1:22" ht="20" x14ac:dyDescent="0.25">
      <c r="A103" s="5" t="s">
        <v>88</v>
      </c>
      <c r="B103" s="1">
        <v>153100000</v>
      </c>
      <c r="C103" s="1">
        <v>252200000</v>
      </c>
      <c r="D103" s="1">
        <v>314000000</v>
      </c>
      <c r="E103" s="1">
        <v>80200000</v>
      </c>
      <c r="F103" s="1">
        <v>184700000</v>
      </c>
      <c r="G103" s="1">
        <v>263000000</v>
      </c>
      <c r="H103" s="1">
        <v>251600000</v>
      </c>
      <c r="I103" s="1">
        <v>205000000</v>
      </c>
      <c r="J103" s="1">
        <v>199000000</v>
      </c>
      <c r="K103" s="1">
        <v>231000000</v>
      </c>
      <c r="L103" s="1">
        <v>192000000</v>
      </c>
      <c r="M103" s="1">
        <v>310000000</v>
      </c>
      <c r="N103" s="1">
        <v>127000000</v>
      </c>
      <c r="U103" s="46" t="s">
        <v>151</v>
      </c>
      <c r="V103" s="51">
        <f>V99+V101</f>
        <v>7432177390</v>
      </c>
    </row>
    <row r="104" spans="1:22" ht="20" thickBot="1" x14ac:dyDescent="0.3">
      <c r="A104" s="7" t="s">
        <v>89</v>
      </c>
      <c r="B104" s="11">
        <v>252200000</v>
      </c>
      <c r="C104" s="11">
        <v>314000000</v>
      </c>
      <c r="D104" s="11">
        <v>80200000</v>
      </c>
      <c r="E104" s="11">
        <v>184700000</v>
      </c>
      <c r="F104" s="11">
        <v>263000000</v>
      </c>
      <c r="G104" s="11">
        <v>251600000</v>
      </c>
      <c r="H104" s="11">
        <v>204700000</v>
      </c>
      <c r="I104" s="11">
        <v>199000000</v>
      </c>
      <c r="J104" s="11">
        <v>231000000</v>
      </c>
      <c r="K104" s="11">
        <v>192000000</v>
      </c>
      <c r="L104" s="11">
        <v>310000000</v>
      </c>
      <c r="M104" s="11">
        <v>127000000</v>
      </c>
      <c r="N104" s="11">
        <v>232000000</v>
      </c>
      <c r="U104" s="70" t="s">
        <v>152</v>
      </c>
      <c r="V104" s="71"/>
    </row>
    <row r="105" spans="1:22" ht="21" thickTop="1" x14ac:dyDescent="0.25">
      <c r="A105" s="15" t="s">
        <v>110</v>
      </c>
      <c r="C105" s="1">
        <f t="shared" ref="C105:M105" si="11">(C22*(1-$V$91))+C77+C88+C81</f>
        <v>477176744.18604648</v>
      </c>
      <c r="D105" s="1">
        <f t="shared" si="11"/>
        <v>481732093.02325583</v>
      </c>
      <c r="E105" s="1">
        <f t="shared" si="11"/>
        <v>467652558.13953495</v>
      </c>
      <c r="F105" s="1">
        <f t="shared" si="11"/>
        <v>537689302.32558131</v>
      </c>
      <c r="G105" s="1">
        <f t="shared" si="11"/>
        <v>463894418.60465121</v>
      </c>
      <c r="H105" s="1">
        <f t="shared" si="11"/>
        <v>541900000</v>
      </c>
      <c r="I105" s="1">
        <f t="shared" si="11"/>
        <v>612762790.69767439</v>
      </c>
      <c r="J105" s="1">
        <f t="shared" si="11"/>
        <v>775865116.27906978</v>
      </c>
      <c r="K105" s="1">
        <f t="shared" si="11"/>
        <v>714344186.04651165</v>
      </c>
      <c r="L105" s="1">
        <f t="shared" si="11"/>
        <v>474618604.65116286</v>
      </c>
      <c r="M105" s="1">
        <f t="shared" si="11"/>
        <v>493758139.53488374</v>
      </c>
      <c r="N105" s="1">
        <f>(N22*(1-$V$91))+N77+N88+N81</f>
        <v>1297432558.139535</v>
      </c>
      <c r="O105" s="30">
        <f>N105*(1+$V$106)</f>
        <v>1348062822.5440671</v>
      </c>
      <c r="P105" s="30">
        <f t="shared" ref="P105:S105" si="12">O105*(1+$V$106)</f>
        <v>1400668853.3632703</v>
      </c>
      <c r="Q105" s="30">
        <f t="shared" si="12"/>
        <v>1455327751.7731161</v>
      </c>
      <c r="R105" s="30">
        <f t="shared" si="12"/>
        <v>1512119627.7016695</v>
      </c>
      <c r="S105" s="30">
        <f t="shared" si="12"/>
        <v>1571127717.2409058</v>
      </c>
      <c r="T105" s="27" t="s">
        <v>111</v>
      </c>
      <c r="U105" s="31" t="s">
        <v>112</v>
      </c>
      <c r="V105" s="32">
        <f>(V100*V92)+(V102*V97)</f>
        <v>6.8674205612736322E-2</v>
      </c>
    </row>
    <row r="106" spans="1:22" ht="19" customHeight="1" x14ac:dyDescent="0.25">
      <c r="A106" s="15" t="s">
        <v>107</v>
      </c>
      <c r="B106" s="1"/>
      <c r="C106" s="16">
        <f t="shared" ref="C106:N106" si="13">(C107/B107)-1</f>
        <v>-4.2684494728722044E-2</v>
      </c>
      <c r="D106" s="16">
        <f t="shared" si="13"/>
        <v>0.33628793983346772</v>
      </c>
      <c r="E106" s="16">
        <f t="shared" si="13"/>
        <v>-8.8442211055276387E-2</v>
      </c>
      <c r="F106" s="16">
        <f t="shared" si="13"/>
        <v>0.22800441014332962</v>
      </c>
      <c r="G106" s="16">
        <f t="shared" si="13"/>
        <v>4.1300053869635533E-2</v>
      </c>
      <c r="H106" s="16">
        <f t="shared" si="13"/>
        <v>1.8796344197275383E-2</v>
      </c>
      <c r="I106" s="16">
        <f t="shared" si="13"/>
        <v>0.11374407582938395</v>
      </c>
      <c r="J106" s="16">
        <f t="shared" si="13"/>
        <v>0.27203647416413368</v>
      </c>
      <c r="K106" s="16">
        <f t="shared" si="13"/>
        <v>1.1947431302270051E-2</v>
      </c>
      <c r="L106" s="16">
        <f t="shared" si="13"/>
        <v>-0.47343565525383702</v>
      </c>
      <c r="M106" s="16">
        <f t="shared" si="13"/>
        <v>3.1390134529148073E-2</v>
      </c>
      <c r="N106" s="16">
        <f t="shared" si="13"/>
        <v>0.42826086956521747</v>
      </c>
      <c r="O106" s="26">
        <v>719900000</v>
      </c>
      <c r="P106" s="26">
        <v>701900000</v>
      </c>
      <c r="Q106" s="26">
        <v>707900000</v>
      </c>
      <c r="R106" s="26">
        <v>744600000</v>
      </c>
      <c r="S106" s="26">
        <v>770300000</v>
      </c>
      <c r="T106" s="27" t="s">
        <v>108</v>
      </c>
      <c r="U106" s="28" t="s">
        <v>109</v>
      </c>
      <c r="V106" s="29">
        <f>(SUM(O4:S4)/5)</f>
        <v>3.90234267568665E-2</v>
      </c>
    </row>
    <row r="107" spans="1:22" ht="19" x14ac:dyDescent="0.25">
      <c r="A107" s="14" t="s">
        <v>93</v>
      </c>
      <c r="B107" s="1">
        <v>388900000</v>
      </c>
      <c r="C107" s="1">
        <v>372300000</v>
      </c>
      <c r="D107" s="1">
        <v>497500000</v>
      </c>
      <c r="E107" s="1">
        <v>453500000</v>
      </c>
      <c r="F107" s="1">
        <v>556900000</v>
      </c>
      <c r="G107" s="1">
        <v>579900000</v>
      </c>
      <c r="H107" s="1">
        <v>590800000</v>
      </c>
      <c r="I107" s="1">
        <v>658000000</v>
      </c>
      <c r="J107" s="1">
        <v>837000000</v>
      </c>
      <c r="K107" s="1">
        <v>847000000</v>
      </c>
      <c r="L107" s="1">
        <v>446000000</v>
      </c>
      <c r="M107" s="1">
        <v>460000000</v>
      </c>
      <c r="N107" s="1">
        <v>657000000</v>
      </c>
      <c r="O107" s="27"/>
      <c r="P107" s="27"/>
      <c r="Q107" s="27"/>
      <c r="R107" s="27"/>
      <c r="S107" s="65">
        <f>S106*(1+V107)/(V108-V107)</f>
        <v>16142143258.613522</v>
      </c>
      <c r="T107" s="52" t="s">
        <v>153</v>
      </c>
      <c r="U107" s="53" t="s">
        <v>154</v>
      </c>
      <c r="V107" s="54">
        <v>0.02</v>
      </c>
    </row>
    <row r="108" spans="1:22" ht="19" x14ac:dyDescent="0.25">
      <c r="A108" s="5"/>
      <c r="B108" s="13"/>
      <c r="C108" s="13"/>
      <c r="D108" s="13"/>
      <c r="E108" s="13"/>
      <c r="F108" s="13"/>
      <c r="G108" s="13"/>
      <c r="H108" s="13"/>
      <c r="I108" s="13"/>
      <c r="J108" s="13"/>
      <c r="K108" s="13"/>
      <c r="L108" s="13"/>
      <c r="M108" s="13"/>
      <c r="N108" s="13"/>
      <c r="O108" s="65">
        <f t="shared" ref="O108:R108" si="14">O107+O106</f>
        <v>719900000</v>
      </c>
      <c r="P108" s="65">
        <f t="shared" si="14"/>
        <v>701900000</v>
      </c>
      <c r="Q108" s="65">
        <f t="shared" si="14"/>
        <v>707900000</v>
      </c>
      <c r="R108" s="65">
        <f t="shared" si="14"/>
        <v>744600000</v>
      </c>
      <c r="S108" s="65">
        <f>S107+S106</f>
        <v>16912443258.613522</v>
      </c>
      <c r="T108" s="52" t="s">
        <v>151</v>
      </c>
      <c r="U108" s="55" t="s">
        <v>155</v>
      </c>
      <c r="V108" s="56">
        <f>V105</f>
        <v>6.8674205612736322E-2</v>
      </c>
    </row>
    <row r="109" spans="1:22" ht="19" x14ac:dyDescent="0.25">
      <c r="O109" s="72" t="s">
        <v>156</v>
      </c>
      <c r="P109" s="73"/>
    </row>
    <row r="110" spans="1:22" ht="20" x14ac:dyDescent="0.25">
      <c r="O110" s="57" t="s">
        <v>157</v>
      </c>
      <c r="P110" s="50">
        <f>NPV(V108,O108,P108,Q108,R108,S108)</f>
        <v>14572435496.825466</v>
      </c>
    </row>
    <row r="111" spans="1:22" ht="20" x14ac:dyDescent="0.25">
      <c r="O111" s="57" t="s">
        <v>158</v>
      </c>
      <c r="P111" s="50">
        <f>M40</f>
        <v>127000000</v>
      </c>
    </row>
    <row r="112" spans="1:22" ht="20" x14ac:dyDescent="0.25">
      <c r="O112" s="57" t="s">
        <v>147</v>
      </c>
      <c r="P112" s="50">
        <f>V99</f>
        <v>2507000000</v>
      </c>
    </row>
    <row r="113" spans="15:16" ht="20" x14ac:dyDescent="0.25">
      <c r="O113" s="57" t="s">
        <v>159</v>
      </c>
      <c r="P113" s="50">
        <f>P110+P111-P112</f>
        <v>12192435496.825466</v>
      </c>
    </row>
    <row r="114" spans="15:16" ht="20" x14ac:dyDescent="0.25">
      <c r="O114" s="57" t="s">
        <v>160</v>
      </c>
      <c r="P114" s="58">
        <f>N34*(1+(5*T16))</f>
        <v>84350941.582409143</v>
      </c>
    </row>
    <row r="115" spans="15:16" ht="20" x14ac:dyDescent="0.25">
      <c r="O115" s="59" t="s">
        <v>161</v>
      </c>
      <c r="P115" s="60">
        <f>P113/P114</f>
        <v>144.54415407934368</v>
      </c>
    </row>
    <row r="116" spans="15:16" ht="20" x14ac:dyDescent="0.25">
      <c r="O116" s="57" t="s">
        <v>162</v>
      </c>
      <c r="P116" s="61" cm="1">
        <f t="array" ref="P116">_FV(A1,"Price")</f>
        <v>54.09</v>
      </c>
    </row>
    <row r="117" spans="15:16" ht="20" x14ac:dyDescent="0.25">
      <c r="O117" s="62" t="s">
        <v>163</v>
      </c>
      <c r="P117" s="63">
        <f>P115/P116-1</f>
        <v>1.672289777765644</v>
      </c>
    </row>
    <row r="118" spans="15:16" ht="20" x14ac:dyDescent="0.25">
      <c r="O118" s="62" t="s">
        <v>164</v>
      </c>
      <c r="P118" s="64" t="str">
        <f>IF(P115&gt;P116,"BUY","SELL")</f>
        <v>BUY</v>
      </c>
    </row>
  </sheetData>
  <mergeCells count="6">
    <mergeCell ref="O109:P109"/>
    <mergeCell ref="U83:V83"/>
    <mergeCell ref="U84:V84"/>
    <mergeCell ref="U93:V93"/>
    <mergeCell ref="U98:V98"/>
    <mergeCell ref="U104:V104"/>
  </mergeCells>
  <hyperlinks>
    <hyperlink ref="A1" r:id="rId1" tooltip="https://roic.ai/company/ALSN" display="ROIC.AI | AL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11207/000119312513084136/0001193125-13-084136-index.html" xr:uid="{00000000-0004-0000-0000-000007000000}"/>
    <hyperlink ref="D74" r:id="rId7" tooltip="https://www.sec.gov/Archives/edgar/data/1411207/000119312513084136/0001193125-13-084136-index.html" xr:uid="{00000000-0004-0000-0000-000008000000}"/>
    <hyperlink ref="E36" r:id="rId8" tooltip="https://www.sec.gov/Archives/edgar/data/1411207/000119312514063895/d642995d10k.htm" xr:uid="{00000000-0004-0000-0000-00000A000000}"/>
    <hyperlink ref="E74" r:id="rId9" tooltip="https://www.sec.gov/Archives/edgar/data/1411207/000119312514063895/d642995d10k.htm" xr:uid="{00000000-0004-0000-0000-00000B000000}"/>
    <hyperlink ref="F36" r:id="rId10" tooltip="https://www.sec.gov/Archives/edgar/data/1411207/000119312515055034/d825977d10k.htm" xr:uid="{00000000-0004-0000-0000-00000D000000}"/>
    <hyperlink ref="F74" r:id="rId11" tooltip="https://www.sec.gov/Archives/edgar/data/1411207/000119312515055034/d825977d10k.htm" xr:uid="{00000000-0004-0000-0000-00000E000000}"/>
    <hyperlink ref="G36" r:id="rId12" tooltip="https://www.sec.gov/Archives/edgar/data/1411207/000119312516469168/0001193125-16-469168-index.html" xr:uid="{00000000-0004-0000-0000-000010000000}"/>
    <hyperlink ref="G74" r:id="rId13" tooltip="https://www.sec.gov/Archives/edgar/data/1411207/000119312516469168/0001193125-16-469168-index.html" xr:uid="{00000000-0004-0000-0000-000011000000}"/>
    <hyperlink ref="H36" r:id="rId14" tooltip="https://www.sec.gov/Archives/edgar/data/1411207/000119312517056079/0001193125-17-056079-index.html" xr:uid="{00000000-0004-0000-0000-000013000000}"/>
    <hyperlink ref="H74" r:id="rId15" tooltip="https://www.sec.gov/Archives/edgar/data/1411207/000119312517056079/0001193125-17-056079-index.html" xr:uid="{00000000-0004-0000-0000-000014000000}"/>
    <hyperlink ref="I36" r:id="rId16" tooltip="https://www.sec.gov/Archives/edgar/data/1411207/000119312518047233/0001193125-18-047233-index.html" xr:uid="{00000000-0004-0000-0000-000016000000}"/>
    <hyperlink ref="I74" r:id="rId17" tooltip="https://www.sec.gov/Archives/edgar/data/1411207/000119312518047233/0001193125-18-047233-index.html" xr:uid="{00000000-0004-0000-0000-000017000000}"/>
    <hyperlink ref="J36" r:id="rId18" tooltip="https://www.sec.gov/Archives/edgar/data/1411207/000141120719000050/0001411207-19-000050-index.html" xr:uid="{00000000-0004-0000-0000-000019000000}"/>
    <hyperlink ref="J74" r:id="rId19" tooltip="https://www.sec.gov/Archives/edgar/data/1411207/000141120719000050/0001411207-19-000050-index.html" xr:uid="{00000000-0004-0000-0000-00001A000000}"/>
    <hyperlink ref="K36" r:id="rId20" tooltip="https://www.sec.gov/Archives/edgar/data/1411207/000156459020007355/0001564590-20-007355-index.html" xr:uid="{00000000-0004-0000-0000-00001C000000}"/>
    <hyperlink ref="K74" r:id="rId21" tooltip="https://www.sec.gov/Archives/edgar/data/1411207/000156459020007355/0001564590-20-007355-index.html" xr:uid="{00000000-0004-0000-0000-00001D000000}"/>
    <hyperlink ref="L36" r:id="rId22" tooltip="https://www.sec.gov/Archives/edgar/data/1411207/000156459021006709/0001564590-21-006709-index.htm" xr:uid="{00000000-0004-0000-0000-00001F000000}"/>
    <hyperlink ref="L74" r:id="rId23" tooltip="https://www.sec.gov/Archives/edgar/data/1411207/000156459021006709/0001564590-21-006709-index.htm" xr:uid="{00000000-0004-0000-0000-000020000000}"/>
    <hyperlink ref="M36" r:id="rId24" tooltip="https://www.sec.gov/Archives/edgar/data/1411207/000095017022001427/0000950170-22-001427-index.htm" xr:uid="{00000000-0004-0000-0000-000022000000}"/>
    <hyperlink ref="M74" r:id="rId25" tooltip="https://www.sec.gov/Archives/edgar/data/1411207/000095017022001427/0000950170-22-001427-index.htm" xr:uid="{00000000-0004-0000-0000-000023000000}"/>
    <hyperlink ref="N36" r:id="rId26" tooltip="https://www.sec.gov/Archives/edgar/data/1411207/000095017023002967/0000950170-23-002967-index.htm" xr:uid="{00000000-0004-0000-0000-000025000000}"/>
    <hyperlink ref="N74" r:id="rId27" tooltip="https://www.sec.gov/Archives/edgar/data/1411207/000095017023002967/0000950170-23-002967-index.htm" xr:uid="{00000000-0004-0000-0000-000026000000}"/>
    <hyperlink ref="O1" r:id="rId28" display="https://finbox.com/NYSE:ALSN/explorer/revenue_proj" xr:uid="{A10460C0-9A93-BC40-99E9-2E6B30C1058E}"/>
    <hyperlink ref="T106" r:id="rId29" xr:uid="{CE278DDF-DFD0-4F41-AE4B-AFE9CBAA6D01}"/>
  </hyperlinks>
  <pageMargins left="0.7" right="0.7" top="0.75" bottom="0.75" header="0.3" footer="0.3"/>
  <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2023-05-04T00:30:38Z</dcterms:created>
  <dcterms:modified xsi:type="dcterms:W3CDTF">2023-06-23T10:54:41Z</dcterms:modified>
</cp:coreProperties>
</file>