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66E93EE8-099A-E64F-BABC-D244CD136082}"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definedNames>
    <definedName name="_xlchart.v1.10" hidden="1">'Sheet 1'!$B$28:$J$28</definedName>
    <definedName name="_xlchart.v1.11" hidden="1">'Sheet 1'!$B$3:$J$3</definedName>
    <definedName name="_xlchart.v1.6" hidden="1">'Sheet 1'!$A$107</definedName>
    <definedName name="_xlchart.v1.7" hidden="1">'Sheet 1'!$A$28</definedName>
    <definedName name="_xlchart.v1.8" hidden="1">'Sheet 1'!$A$3</definedName>
    <definedName name="_xlchart.v1.9" hidden="1">'Sheet 1'!$B$107:$J$107</definedName>
    <definedName name="_xlchart.v2.0" hidden="1">'Sheet 1'!$A$107</definedName>
    <definedName name="_xlchart.v2.1" hidden="1">'Sheet 1'!$A$28</definedName>
    <definedName name="_xlchart.v2.2" hidden="1">'Sheet 1'!$A$3</definedName>
    <definedName name="_xlchart.v2.3" hidden="1">'Sheet 1'!$B$107:$J$107</definedName>
    <definedName name="_xlchart.v2.4" hidden="1">'Sheet 1'!$B$28:$J$28</definedName>
    <definedName name="_xlchart.v2.5" hidden="1">'Sheet 1'!$B$3:$J$3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4" i="1" l="1"/>
  <c r="L111" i="1"/>
  <c r="R90" i="1"/>
  <c r="R89" i="1"/>
  <c r="R87" i="1"/>
  <c r="R86" i="1"/>
  <c r="R85" i="1"/>
  <c r="L116" i="1" a="1"/>
  <c r="L116" i="1" s="1"/>
  <c r="R101" i="1" a="1"/>
  <c r="R101" i="1" s="1"/>
  <c r="R22" i="1" s="1"/>
  <c r="R95" i="1" a="1"/>
  <c r="R95" i="1" s="1"/>
  <c r="R97" i="1" s="1"/>
  <c r="P19" i="1"/>
  <c r="P16" i="1"/>
  <c r="S13" i="1"/>
  <c r="R13" i="1"/>
  <c r="Q13" i="1"/>
  <c r="P13" i="1"/>
  <c r="S10" i="1"/>
  <c r="R10" i="1"/>
  <c r="Q10" i="1"/>
  <c r="P10" i="1"/>
  <c r="S7" i="1"/>
  <c r="R7" i="1"/>
  <c r="Q7" i="1"/>
  <c r="P7" i="1"/>
  <c r="S4" i="1"/>
  <c r="R4" i="1"/>
  <c r="Q4" i="1"/>
  <c r="P4" i="1"/>
  <c r="K29" i="1"/>
  <c r="K20" i="1"/>
  <c r="K4" i="1"/>
  <c r="J4" i="1"/>
  <c r="J9" i="1"/>
  <c r="J13" i="1"/>
  <c r="J20" i="1"/>
  <c r="J29" i="1"/>
  <c r="J35" i="1"/>
  <c r="J80" i="1"/>
  <c r="J89" i="1"/>
  <c r="J106" i="1"/>
  <c r="N108" i="1"/>
  <c r="M108" i="1"/>
  <c r="L108" i="1"/>
  <c r="K108" i="1"/>
  <c r="R94" i="1"/>
  <c r="R91" i="1"/>
  <c r="C105" i="1" s="1"/>
  <c r="O30" i="1"/>
  <c r="N30" i="1"/>
  <c r="M30" i="1"/>
  <c r="L30" i="1"/>
  <c r="K30" i="1"/>
  <c r="O29" i="1"/>
  <c r="N29" i="1"/>
  <c r="M29" i="1"/>
  <c r="L29" i="1"/>
  <c r="O21" i="1"/>
  <c r="N21" i="1"/>
  <c r="M21" i="1"/>
  <c r="L21" i="1"/>
  <c r="K21" i="1"/>
  <c r="O20" i="1"/>
  <c r="N20" i="1"/>
  <c r="M20" i="1"/>
  <c r="L20" i="1"/>
  <c r="O4" i="1"/>
  <c r="N4" i="1"/>
  <c r="M4" i="1"/>
  <c r="L4" i="1"/>
  <c r="I106" i="1"/>
  <c r="H106" i="1"/>
  <c r="G106" i="1"/>
  <c r="F106" i="1"/>
  <c r="E106" i="1"/>
  <c r="D106" i="1"/>
  <c r="C106" i="1"/>
  <c r="I89" i="1"/>
  <c r="H89" i="1"/>
  <c r="G89" i="1"/>
  <c r="F89" i="1"/>
  <c r="E89" i="1"/>
  <c r="D89" i="1"/>
  <c r="C89" i="1"/>
  <c r="B89" i="1"/>
  <c r="I80"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I4" i="1"/>
  <c r="H4" i="1"/>
  <c r="G4" i="1"/>
  <c r="F4" i="1"/>
  <c r="E4" i="1"/>
  <c r="D4" i="1"/>
  <c r="C4" i="1"/>
  <c r="S16" i="1" l="1"/>
  <c r="R19" i="1"/>
  <c r="Q19" i="1"/>
  <c r="S19" i="1"/>
  <c r="S22" i="1"/>
  <c r="Q16" i="1"/>
  <c r="R16" i="1"/>
  <c r="J105" i="1"/>
  <c r="I105" i="1"/>
  <c r="H105" i="1"/>
  <c r="G105" i="1"/>
  <c r="F105" i="1"/>
  <c r="E105" i="1"/>
  <c r="R88" i="1"/>
  <c r="R92" i="1" s="1"/>
  <c r="D105" i="1"/>
  <c r="R106" i="1"/>
  <c r="R99" i="1"/>
  <c r="K105" i="1" l="1"/>
  <c r="L105" i="1" s="1"/>
  <c r="M105" i="1" s="1"/>
  <c r="N105" i="1" s="1"/>
  <c r="O105" i="1" s="1"/>
  <c r="R103" i="1"/>
  <c r="R102" i="1" s="1"/>
  <c r="L112" i="1"/>
  <c r="R100" i="1" l="1"/>
  <c r="R105" i="1" s="1"/>
  <c r="R108" i="1" s="1"/>
  <c r="O107" i="1" l="1"/>
  <c r="O108" i="1" s="1"/>
  <c r="L110" i="1"/>
  <c r="L113" i="1" l="1"/>
  <c r="L115" i="1" s="1"/>
  <c r="L118" i="1" l="1"/>
  <c r="L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<sst xmlns="http://schemas.openxmlformats.org/spreadsheetml/2006/main" count="368" uniqueCount="167">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</sst>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164" fontId="10" fillId="5" borderId="0" xfId="0" applyNumberFormat="1" applyFont="1" applyFill="1"/>
    <xf numFmtId="0" fontId="0" fillId="4" borderId="0" xfId="0" applyFill="1"/>
    <xf numFmtId="9" fontId="13"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0" fillId="4" borderId="0" xfId="0" applyNumberFormat="1" applyFont="1" applyFill="1"/>
    <xf numFmtId="0" fontId="12" fillId="6" borderId="11" xfId="0" applyFont="1" applyFill="1" applyBorder="1" applyAlignment="1">
      <alignment horizontal="left" vertical="center" wrapText="1"/>
    </xf>
    <xf numFmtId="10" fontId="12" fillId="6" borderId="8" xfId="0" applyNumberFormat="1" applyFont="1" applyFill="1" applyBorder="1"/>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5" fillId="6" borderId="13" xfId="0" applyFont="1" applyFill="1" applyBorder="1" applyAlignment="1">
      <alignment horizontal="center"/>
    </xf>
    <xf numFmtId="0" fontId="16" fillId="6" borderId="7" xfId="0" applyFont="1" applyFill="1" applyBorder="1" applyAlignment="1">
      <alignment horizontal="center"/>
    </xf>
    <xf numFmtId="0" fontId="12" fillId="7" borderId="13" xfId="0" applyFont="1" applyFill="1" applyBorder="1" applyAlignment="1">
      <alignment horizontal="center" vertical="center" wrapText="1"/>
    </xf>
    <xf numFmtId="0" fontId="12" fillId="7"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 fillId="5" borderId="0" xfId="0" applyNumberFormat="1" applyFont="1" applyFill="1"/>
    <xf numFmtId="0" fontId="0" fillId="4" borderId="0" xfId="0" applyFill="1" applyAlignment="1">
      <alignment horizontal="left"/>
    </xf>
    <xf numFmtId="0" fontId="13" fillId="5" borderId="9" xfId="0" applyFont="1" applyFill="1" applyBorder="1" applyAlignment="1">
      <alignment wrapText="1"/>
    </xf>
    <xf numFmtId="10" fontId="1" fillId="5" borderId="10" xfId="0" applyNumberFormat="1" applyFont="1" applyFill="1" applyBorder="1" applyAlignment="1">
      <alignment horizontal="right" vertical="center"/>
    </xf>
    <xf numFmtId="0" fontId="13" fillId="4" borderId="11" xfId="0" applyFont="1" applyFill="1" applyBorder="1"/>
    <xf numFmtId="10" fontId="1" fillId="4" borderId="8" xfId="0" applyNumberFormat="1" applyFont="1" applyFill="1" applyBorder="1" applyAlignment="1">
      <alignment horizontal="right" vertical="center"/>
    </xf>
    <xf numFmtId="0" fontId="1" fillId="6" borderId="14" xfId="0" applyFont="1" applyFill="1" applyBorder="1" applyAlignment="1">
      <alignment horizontal="center"/>
    </xf>
    <xf numFmtId="0" fontId="1" fillId="6" borderId="15"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6" borderId="9" xfId="0" applyNumberFormat="1" applyFont="1" applyFill="1" applyBorder="1" applyAlignment="1">
      <alignment wrapText="1"/>
    </xf>
    <xf numFmtId="169" fontId="12" fillId="6" borderId="10" xfId="0" applyNumberFormat="1" applyFont="1" applyFill="1" applyBorder="1"/>
    <xf numFmtId="170" fontId="1" fillId="4" borderId="10" xfId="0" applyNumberFormat="1" applyFont="1" applyFill="1" applyBorder="1"/>
    <xf numFmtId="164" fontId="1" fillId="6" borderId="11" xfId="0" applyNumberFormat="1" applyFont="1" applyFill="1" applyBorder="1" applyAlignment="1">
      <alignment wrapText="1"/>
    </xf>
    <xf numFmtId="9" fontId="12" fillId="6" borderId="8" xfId="1" applyFont="1" applyFill="1" applyBorder="1"/>
    <xf numFmtId="0" fontId="12" fillId="6"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GOOS</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123178807947018E-2"/>
          <c:y val="0.1146212526644371"/>
          <c:w val="0.85916556291390722"/>
          <c:h val="0.7291765222680273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218414000</c:v>
                </c:pt>
                <c:pt idx="1">
                  <c:v>290830000</c:v>
                </c:pt>
                <c:pt idx="2">
                  <c:v>403777000</c:v>
                </c:pt>
                <c:pt idx="3">
                  <c:v>591181000</c:v>
                </c:pt>
                <c:pt idx="4">
                  <c:v>830500000</c:v>
                </c:pt>
                <c:pt idx="5">
                  <c:v>958100000</c:v>
                </c:pt>
                <c:pt idx="6">
                  <c:v>903700000</c:v>
                </c:pt>
                <c:pt idx="7">
                  <c:v>1098400000</c:v>
                </c:pt>
                <c:pt idx="8">
                  <c:v>1217000000</c:v>
                </c:pt>
              </c:numCache>
            </c:numRef>
          </c:val>
          <c:extLst>
            <c:ext xmlns:c16="http://schemas.microsoft.com/office/drawing/2014/chart" uri="{C3380CC4-5D6E-409C-BE32-E72D297353CC}">
              <c16:uniqueId val="{00000000-CED5-5042-8F62-B60BCE1AF5DA}"/>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1'!$B$28:$J$28</c:f>
              <c:numCache>
                <c:formatCode>#,###,,;\(#,###,,\);\ \-\ \-</c:formatCode>
                <c:ptCount val="9"/>
                <c:pt idx="0">
                  <c:v>14425000</c:v>
                </c:pt>
                <c:pt idx="1">
                  <c:v>26485000</c:v>
                </c:pt>
                <c:pt idx="2">
                  <c:v>21640000</c:v>
                </c:pt>
                <c:pt idx="3">
                  <c:v>96055000</c:v>
                </c:pt>
                <c:pt idx="4">
                  <c:v>143600000</c:v>
                </c:pt>
                <c:pt idx="5">
                  <c:v>151700000</c:v>
                </c:pt>
                <c:pt idx="6">
                  <c:v>70200000</c:v>
                </c:pt>
                <c:pt idx="7">
                  <c:v>94600000</c:v>
                </c:pt>
                <c:pt idx="8">
                  <c:v>72700000</c:v>
                </c:pt>
              </c:numCache>
            </c:numRef>
          </c:val>
          <c:extLst>
            <c:ext xmlns:c16="http://schemas.microsoft.com/office/drawing/2014/chart" uri="{C3380CC4-5D6E-409C-BE32-E72D297353CC}">
              <c16:uniqueId val="{00000001-CED5-5042-8F62-B60BCE1AF5D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1'!$B$107:$J$107</c:f>
              <c:numCache>
                <c:formatCode>#,###,,;\(#,###,,\);\ \-\ \-</c:formatCode>
                <c:ptCount val="9"/>
                <c:pt idx="0">
                  <c:v>-1043000</c:v>
                </c:pt>
                <c:pt idx="1">
                  <c:v>-28284000</c:v>
                </c:pt>
                <c:pt idx="2">
                  <c:v>13061000</c:v>
                </c:pt>
                <c:pt idx="3">
                  <c:v>92432000</c:v>
                </c:pt>
                <c:pt idx="4">
                  <c:v>24100000</c:v>
                </c:pt>
                <c:pt idx="5">
                  <c:v>200000</c:v>
                </c:pt>
                <c:pt idx="6">
                  <c:v>261700000</c:v>
                </c:pt>
                <c:pt idx="7">
                  <c:v>114400000</c:v>
                </c:pt>
                <c:pt idx="8">
                  <c:v>68200000</c:v>
                </c:pt>
              </c:numCache>
            </c:numRef>
          </c:val>
          <c:extLst>
            <c:ext xmlns:c16="http://schemas.microsoft.com/office/drawing/2014/chart" uri="{C3380CC4-5D6E-409C-BE32-E72D297353CC}">
              <c16:uniqueId val="{00000002-CED5-5042-8F62-B60BCE1AF5DA}"/>
            </c:ext>
          </c:extLst>
        </c:ser>
        <c:dLbls>
          <c:showLegendKey val="0"/>
          <c:showVal val="0"/>
          <c:showCatName val="0"/>
          <c:showSerName val="0"/>
          <c:showPercent val="0"/>
          <c:showBubbleSize val="0"/>
        </c:dLbls>
        <c:gapWidth val="100"/>
        <c:overlap val="-24"/>
        <c:axId val="1549439088"/>
        <c:axId val="1550599920"/>
      </c:barChart>
      <c:catAx>
        <c:axId val="15494390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0599920"/>
        <c:crosses val="autoZero"/>
        <c:auto val="1"/>
        <c:lblAlgn val="ctr"/>
        <c:lblOffset val="100"/>
        <c:noMultiLvlLbl val="0"/>
      </c:catAx>
      <c:valAx>
        <c:axId val="155059992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49439088"/>
        <c:crosses val="autoZero"/>
        <c:crossBetween val="between"/>
      </c:valAx>
      <c:spPr>
        <a:noFill/>
        <a:ln>
          <a:noFill/>
        </a:ln>
        <a:effectLst/>
      </c:spPr>
    </c:plotArea>
    <c:legend>
      <c:legendPos val="b"/>
      <c:layout>
        <c:manualLayout>
          <c:xMode val="edge"/>
          <c:yMode val="edge"/>
          <c:x val="0.34285008082598945"/>
          <c:y val="0.90866688645799287"/>
          <c:w val="0.31429983834802105"/>
          <c:h val="5.94374955478557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15875</xdr:colOff>
      <xdr:row>108</xdr:row>
      <xdr:rowOff>17463</xdr:rowOff>
    </xdr:from>
    <xdr:to>
      <xdr:col>17</xdr:col>
      <xdr:colOff>1587500</xdr:colOff>
      <xdr:row>127</xdr:row>
      <xdr:rowOff>15875</xdr:rowOff>
    </xdr:to>
    <xdr:graphicFrame macro="">
      <xdr:nvGraphicFramePr>
        <xdr:cNvPr id="2" name="Chart 1">
          <a:extLst>
            <a:ext uri="{FF2B5EF4-FFF2-40B4-BE49-F238E27FC236}">
              <a16:creationId xmlns:a16="http://schemas.microsoft.com/office/drawing/2014/main" id="{3F57DF2D-6FBA-640E-57C4-7673A2E8B5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3.7280000000000001E-2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https://www.bing.com/financeapi/forcetrigger?t=aayfu2&amp;q=XTSE%3aGOOS&amp;form=skydnc</v>
    <v>Learn more on Bing</v>
  </rv>
  <rv s="1">
    <v>0</v>
    <v>CANADA GOOSE HOLDINGS INC. (XTSE:GOOS)</v>
    <v>2</v>
    <v>3</v>
    <v>Finance</v>
    <v>4</v>
    <v>en-US</v>
    <v>aayfu2</v>
    <v>268435456</v>
    <v>1</v>
    <v>Powered by Refinitiv</v>
    <v>32.81</v>
    <v>20.010000000000002</v>
    <v>1.5892999999999999</v>
    <v>0.01</v>
    <v>4.6749999999999998E-4</v>
    <v>0</v>
    <v>0</v>
    <v>CAD</v>
    <v>Canada Goose Holdings Inc. is a Canada-based lifestyle brand and a manufacturer of performance luxury apparel. The Company designs, manufactures, and sells performance luxury apparel for men, women, youth, children, and babies. The Company’s product offerings include various styles of parkas, lightweight down jackets, rainwear, wind wear, apparel, fleece, footwear, and accessories for the fall, winter, and spring seasons. The Company operates through three segments: DTC, Wholesale, and Other. Its DTC segment comprises sales through country-specific e-Commerce platforms and the Company-operated retail stores located in luxury shopping locations. Its Wholesale segment comprises sales made to a mix of retailers and international distributors. Its Other segment comprises of sales and costs not directly allocated to the DTC or Wholesale channels. The Company has its operations in Canada, the United States, Asia Pacific, Europe, the Middle East, Africa, and Latin America.</v>
    <v>4760</v>
    <v>Toronto Stock Exchange</v>
    <v>XTSE</v>
    <v>XTSE</v>
    <v>250 Bowie Avenue, TORONTO, ON, M6E 4Y2 CA</v>
    <v>21.51</v>
    <v>Textiles &amp; Apparel</v>
    <v>Stock</v>
    <v>45099.833333333336</v>
    <v>0</v>
    <v>20.97</v>
    <v>2211324000</v>
    <v>CANADA GOOSE HOLDINGS INC.</v>
    <v>CANADA GOOSE HOLDINGS INC.</v>
    <v>21.32</v>
    <v>31.1</v>
    <v>21.39</v>
    <v>21.4</v>
    <v>21.4</v>
    <v>103938900</v>
    <v>GOOS</v>
    <v>CANADA GOOSE HOLDINGS INC. (XTSE:GOOS)</v>
    <v>172001</v>
    <v>245890</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finbox.com/TSX:GOOS/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drawing" Target="../drawings/drawing1.xml"/><Relationship Id="rId1" Type="http://schemas.openxmlformats.org/officeDocument/2006/relationships/hyperlink" Target="https://roic.ai/company/GOOS"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finbox.com/TSX:GOOS/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8"/>
  <sheetViews>
    <sheetView tabSelected="1" zoomScale="80" zoomScaleNormal="80" workbookViewId="0">
      <pane xSplit="1" ySplit="1" topLeftCell="B75" activePane="bottomRight" state="frozen"/>
      <selection pane="topRight"/>
      <selection pane="bottomLeft"/>
      <selection pane="bottomRight" activeCell="M89" sqref="M89"/>
    </sheetView>
  </sheetViews>
  <sheetFormatPr baseColWidth="10" defaultRowHeight="16" x14ac:dyDescent="0.2"/>
  <cols>
    <col min="1" max="1" width="50" customWidth="1"/>
    <col min="2" max="10" width="15" customWidth="1"/>
    <col min="11" max="19" width="21" customWidth="1"/>
  </cols>
  <sheetData>
    <row r="1" spans="1:19" ht="22" thickBot="1" x14ac:dyDescent="0.3">
      <c r="A1" s="3" t="e" vm="1">
        <v>#VALUE!</v>
      </c>
      <c r="B1" s="8">
        <v>2015</v>
      </c>
      <c r="C1" s="8">
        <v>2016</v>
      </c>
      <c r="D1" s="8">
        <v>2017</v>
      </c>
      <c r="E1" s="8">
        <v>2018</v>
      </c>
      <c r="F1" s="8">
        <v>2019</v>
      </c>
      <c r="G1" s="8">
        <v>2020</v>
      </c>
      <c r="H1" s="8">
        <v>2021</v>
      </c>
      <c r="I1" s="8">
        <v>2022</v>
      </c>
      <c r="J1" s="8">
        <v>2023</v>
      </c>
      <c r="K1" s="33">
        <v>2023</v>
      </c>
      <c r="L1" s="33">
        <v>2024</v>
      </c>
      <c r="M1" s="33">
        <v>2025</v>
      </c>
      <c r="N1" s="33">
        <v>2026</v>
      </c>
      <c r="O1" s="33">
        <v>2027</v>
      </c>
    </row>
    <row r="2" spans="1:1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c r="O2" s="9"/>
      <c r="P2" s="9"/>
      <c r="Q2" s="9"/>
      <c r="R2" s="9"/>
      <c r="S2" s="9"/>
    </row>
    <row r="3" spans="1:19" ht="40" x14ac:dyDescent="0.25">
      <c r="A3" s="5" t="s">
        <v>1</v>
      </c>
      <c r="B3" s="1">
        <v>218414000</v>
      </c>
      <c r="C3" s="1">
        <v>290830000</v>
      </c>
      <c r="D3" s="1">
        <v>403777000</v>
      </c>
      <c r="E3" s="1">
        <v>591181000</v>
      </c>
      <c r="F3" s="1">
        <v>830500000</v>
      </c>
      <c r="G3" s="1">
        <v>958100000</v>
      </c>
      <c r="H3" s="1">
        <v>903700000</v>
      </c>
      <c r="I3" s="1">
        <v>1098400000</v>
      </c>
      <c r="J3" s="1">
        <v>1217000000</v>
      </c>
      <c r="K3" s="34">
        <v>1433000000</v>
      </c>
      <c r="L3" s="34">
        <v>1552000000</v>
      </c>
      <c r="M3" s="34">
        <v>1666000000</v>
      </c>
      <c r="N3" s="34">
        <v>1688000000</v>
      </c>
      <c r="O3" s="34">
        <v>3001000000</v>
      </c>
      <c r="P3" s="19" t="s">
        <v>113</v>
      </c>
      <c r="Q3" s="20" t="s">
        <v>114</v>
      </c>
      <c r="R3" s="20" t="s">
        <v>115</v>
      </c>
      <c r="S3" s="20" t="s">
        <v>116</v>
      </c>
    </row>
    <row r="4" spans="1:19" ht="19" x14ac:dyDescent="0.25">
      <c r="A4" s="15" t="s">
        <v>94</v>
      </c>
      <c r="B4" s="1"/>
      <c r="C4" s="16">
        <f>(C3/B3)-1</f>
        <v>0.3315538381239298</v>
      </c>
      <c r="D4" s="16">
        <f>(D3/C3)-1</f>
        <v>0.38836089811917618</v>
      </c>
      <c r="E4" s="16">
        <f>(E3/D3)-1</f>
        <v>0.46412747630499007</v>
      </c>
      <c r="F4" s="16">
        <f t="shared" ref="F4:J4" si="0">(F3/E3)-1</f>
        <v>0.40481510738673943</v>
      </c>
      <c r="G4" s="16">
        <f t="shared" si="0"/>
        <v>0.15364238410596021</v>
      </c>
      <c r="H4" s="17">
        <f t="shared" si="0"/>
        <v>-5.6779041853668666E-2</v>
      </c>
      <c r="I4" s="17">
        <f t="shared" si="0"/>
        <v>0.21544760429346033</v>
      </c>
      <c r="J4" s="17">
        <f t="shared" si="0"/>
        <v>0.10797523670793874</v>
      </c>
      <c r="K4" s="17">
        <f>(K3/J3)-1</f>
        <v>0.17748562037797866</v>
      </c>
      <c r="L4" s="17">
        <f t="shared" ref="L4:O4" si="1">(L3/K3)-1</f>
        <v>8.3042568039078946E-2</v>
      </c>
      <c r="M4" s="17">
        <f t="shared" si="1"/>
        <v>7.3453608247422641E-2</v>
      </c>
      <c r="N4" s="17">
        <f t="shared" si="1"/>
        <v>1.3205282112845218E-2</v>
      </c>
      <c r="O4" s="17">
        <f t="shared" si="1"/>
        <v>0.77784360189573465</v>
      </c>
      <c r="P4" s="18">
        <f>(SUM(H4:J4))/3</f>
        <v>8.8881266382576804E-2</v>
      </c>
      <c r="Q4" s="18">
        <f>SUM(H20:J20)/3</f>
        <v>-0.11079712549091252</v>
      </c>
      <c r="R4" s="18">
        <f>SUM(H29:J29)/3</f>
        <v>-0.14038909037963679</v>
      </c>
      <c r="S4" s="18">
        <f>SUM(H106:J106)/3</f>
        <v>435.51109853717799</v>
      </c>
    </row>
    <row r="5" spans="1:19" ht="19" x14ac:dyDescent="0.25">
      <c r="A5" s="5" t="s">
        <v>2</v>
      </c>
      <c r="B5" s="1">
        <v>129805000</v>
      </c>
      <c r="C5" s="1">
        <v>145206000</v>
      </c>
      <c r="D5" s="1">
        <v>191709000</v>
      </c>
      <c r="E5" s="1">
        <v>243569000</v>
      </c>
      <c r="F5" s="1">
        <v>313700000</v>
      </c>
      <c r="G5" s="1">
        <v>364800000</v>
      </c>
      <c r="H5" s="1">
        <v>349700000</v>
      </c>
      <c r="I5" s="1">
        <v>364800000</v>
      </c>
      <c r="J5" s="1">
        <v>401800000</v>
      </c>
    </row>
    <row r="6" spans="1:19" ht="20" x14ac:dyDescent="0.25">
      <c r="A6" s="6" t="s">
        <v>3</v>
      </c>
      <c r="B6" s="10">
        <v>88609000</v>
      </c>
      <c r="C6" s="10">
        <v>145624000</v>
      </c>
      <c r="D6" s="10">
        <v>212068000</v>
      </c>
      <c r="E6" s="10">
        <v>347612000</v>
      </c>
      <c r="F6" s="10">
        <v>516800000</v>
      </c>
      <c r="G6" s="10">
        <v>593300000</v>
      </c>
      <c r="H6" s="10">
        <v>554000000</v>
      </c>
      <c r="I6" s="10">
        <v>733600000</v>
      </c>
      <c r="J6" s="10">
        <v>815200000</v>
      </c>
      <c r="P6" s="19" t="s">
        <v>117</v>
      </c>
      <c r="Q6" s="20" t="s">
        <v>118</v>
      </c>
      <c r="R6" s="20" t="s">
        <v>119</v>
      </c>
      <c r="S6" s="20" t="s">
        <v>120</v>
      </c>
    </row>
    <row r="7" spans="1:19" ht="19" x14ac:dyDescent="0.25">
      <c r="A7" s="5" t="s">
        <v>4</v>
      </c>
      <c r="B7" s="2">
        <v>0.40570000000000001</v>
      </c>
      <c r="C7" s="2">
        <v>0.50070000000000003</v>
      </c>
      <c r="D7" s="2">
        <v>0.5252</v>
      </c>
      <c r="E7" s="2">
        <v>0.58799999999999997</v>
      </c>
      <c r="F7" s="2">
        <v>0.62229999999999996</v>
      </c>
      <c r="G7" s="2">
        <v>0.61919999999999997</v>
      </c>
      <c r="H7" s="2">
        <v>0.61299999999999999</v>
      </c>
      <c r="I7" s="2">
        <v>0.66790000000000005</v>
      </c>
      <c r="J7" s="2">
        <v>0.66979999999999995</v>
      </c>
      <c r="P7" s="18">
        <f>J7</f>
        <v>0.66979999999999995</v>
      </c>
      <c r="Q7" s="21">
        <f>J21</f>
        <v>0.1113</v>
      </c>
      <c r="R7" s="21">
        <f>J30</f>
        <v>5.9700000000000003E-2</v>
      </c>
      <c r="S7" s="21">
        <f>J107/J3</f>
        <v>5.6039441248972886E-2</v>
      </c>
    </row>
    <row r="8" spans="1:19" ht="19" x14ac:dyDescent="0.25">
      <c r="A8" s="5" t="s">
        <v>5</v>
      </c>
      <c r="B8" s="1">
        <v>0</v>
      </c>
      <c r="C8" s="1">
        <v>0</v>
      </c>
      <c r="D8" s="1">
        <v>0</v>
      </c>
      <c r="E8" s="1">
        <v>0</v>
      </c>
      <c r="F8" s="1">
        <v>0</v>
      </c>
      <c r="G8" s="1">
        <v>0</v>
      </c>
      <c r="H8" s="1">
        <v>0</v>
      </c>
      <c r="I8" s="1">
        <v>0</v>
      </c>
      <c r="J8" s="1">
        <v>0</v>
      </c>
    </row>
    <row r="9" spans="1:19" ht="19" customHeight="1" x14ac:dyDescent="0.25">
      <c r="A9" s="15" t="s">
        <v>95</v>
      </c>
      <c r="B9" s="16">
        <f>B8/B3</f>
        <v>0</v>
      </c>
      <c r="C9" s="16">
        <f t="shared" ref="C9:J9" si="2">C8/C3</f>
        <v>0</v>
      </c>
      <c r="D9" s="16">
        <f t="shared" si="2"/>
        <v>0</v>
      </c>
      <c r="E9" s="16">
        <f t="shared" si="2"/>
        <v>0</v>
      </c>
      <c r="F9" s="16">
        <f t="shared" si="2"/>
        <v>0</v>
      </c>
      <c r="G9" s="16">
        <f t="shared" si="2"/>
        <v>0</v>
      </c>
      <c r="H9" s="16">
        <f t="shared" si="2"/>
        <v>0</v>
      </c>
      <c r="I9" s="16">
        <f t="shared" si="2"/>
        <v>0</v>
      </c>
      <c r="J9" s="16">
        <f t="shared" si="2"/>
        <v>0</v>
      </c>
      <c r="P9" s="19" t="s">
        <v>96</v>
      </c>
      <c r="Q9" s="20" t="s">
        <v>97</v>
      </c>
      <c r="R9" s="20" t="s">
        <v>98</v>
      </c>
      <c r="S9" s="20" t="s">
        <v>99</v>
      </c>
    </row>
    <row r="10" spans="1:19" ht="19" x14ac:dyDescent="0.25">
      <c r="A10" s="5" t="s">
        <v>6</v>
      </c>
      <c r="B10" s="1" t="s">
        <v>91</v>
      </c>
      <c r="C10" s="1" t="s">
        <v>91</v>
      </c>
      <c r="D10" s="1" t="s">
        <v>91</v>
      </c>
      <c r="E10" s="1" t="s">
        <v>91</v>
      </c>
      <c r="F10" s="1" t="s">
        <v>91</v>
      </c>
      <c r="G10" s="1" t="s">
        <v>91</v>
      </c>
      <c r="H10" s="1" t="s">
        <v>91</v>
      </c>
      <c r="I10" s="1" t="s">
        <v>91</v>
      </c>
      <c r="J10" s="1" t="s">
        <v>91</v>
      </c>
      <c r="P10" s="18">
        <f>J9</f>
        <v>0</v>
      </c>
      <c r="Q10" s="21">
        <f>J13</f>
        <v>0.55850451930977818</v>
      </c>
      <c r="R10" s="21">
        <f>J80</f>
        <v>1.2325390304026294E-2</v>
      </c>
      <c r="S10" s="21">
        <f>J89</f>
        <v>3.9523418241577651E-2</v>
      </c>
    </row>
    <row r="11" spans="1:19" ht="19" x14ac:dyDescent="0.25">
      <c r="A11" s="5" t="s">
        <v>7</v>
      </c>
      <c r="B11" s="1" t="s">
        <v>91</v>
      </c>
      <c r="C11" s="1" t="s">
        <v>91</v>
      </c>
      <c r="D11" s="1" t="s">
        <v>91</v>
      </c>
      <c r="E11" s="1" t="s">
        <v>91</v>
      </c>
      <c r="F11" s="1" t="s">
        <v>91</v>
      </c>
      <c r="G11" s="1" t="s">
        <v>91</v>
      </c>
      <c r="H11" s="1" t="s">
        <v>91</v>
      </c>
      <c r="I11" s="1" t="s">
        <v>91</v>
      </c>
      <c r="J11" s="1" t="s">
        <v>91</v>
      </c>
    </row>
    <row r="12" spans="1:19" ht="20" x14ac:dyDescent="0.25">
      <c r="A12" s="5" t="s">
        <v>8</v>
      </c>
      <c r="B12" s="1" t="s">
        <v>91</v>
      </c>
      <c r="C12" s="1" t="s">
        <v>91</v>
      </c>
      <c r="D12" s="1" t="s">
        <v>91</v>
      </c>
      <c r="E12" s="1" t="s">
        <v>91</v>
      </c>
      <c r="F12" s="1" t="s">
        <v>91</v>
      </c>
      <c r="G12" s="1" t="s">
        <v>91</v>
      </c>
      <c r="H12" s="1" t="s">
        <v>91</v>
      </c>
      <c r="I12" s="1">
        <v>576900000</v>
      </c>
      <c r="J12" s="1">
        <v>679700000</v>
      </c>
      <c r="P12" s="19" t="s">
        <v>121</v>
      </c>
      <c r="Q12" s="20" t="s">
        <v>122</v>
      </c>
      <c r="R12" s="20" t="s">
        <v>123</v>
      </c>
      <c r="S12" s="20" t="s">
        <v>124</v>
      </c>
    </row>
    <row r="13" spans="1:19" ht="19" x14ac:dyDescent="0.25">
      <c r="A13" s="15" t="s">
        <v>100</v>
      </c>
      <c r="B13" s="16" t="e">
        <f>B12/B3</f>
        <v>#VALUE!</v>
      </c>
      <c r="C13" s="16" t="e">
        <f t="shared" ref="C13:J13" si="3">C12/C3</f>
        <v>#VALUE!</v>
      </c>
      <c r="D13" s="16" t="e">
        <f t="shared" si="3"/>
        <v>#VALUE!</v>
      </c>
      <c r="E13" s="16" t="e">
        <f t="shared" si="3"/>
        <v>#VALUE!</v>
      </c>
      <c r="F13" s="16" t="e">
        <f t="shared" si="3"/>
        <v>#VALUE!</v>
      </c>
      <c r="G13" s="16" t="e">
        <f t="shared" si="3"/>
        <v>#VALUE!</v>
      </c>
      <c r="H13" s="16" t="e">
        <f t="shared" si="3"/>
        <v>#VALUE!</v>
      </c>
      <c r="I13" s="16">
        <f t="shared" si="3"/>
        <v>0.52521849963583389</v>
      </c>
      <c r="J13" s="16">
        <f t="shared" si="3"/>
        <v>0.55850451930977818</v>
      </c>
      <c r="P13" s="18">
        <f>J28/J72</f>
        <v>0.15484558040468582</v>
      </c>
      <c r="Q13" s="21">
        <f>J28/J54</f>
        <v>4.5723270440251575E-2</v>
      </c>
      <c r="R13" s="21">
        <f>J22/(J72+J56+J61)</f>
        <v>2.1577441765427054E-2</v>
      </c>
      <c r="S13" s="22">
        <f>J67/J72</f>
        <v>2.3695420660276891</v>
      </c>
    </row>
    <row r="14" spans="1:19" ht="19" x14ac:dyDescent="0.25">
      <c r="A14" s="5" t="s">
        <v>9</v>
      </c>
      <c r="B14" s="1">
        <v>61940000</v>
      </c>
      <c r="C14" s="1">
        <v>104670000</v>
      </c>
      <c r="D14" s="1">
        <v>171566000</v>
      </c>
      <c r="E14" s="1">
        <v>209484000</v>
      </c>
      <c r="F14" s="1">
        <v>320100000</v>
      </c>
      <c r="G14" s="1">
        <v>401200000</v>
      </c>
      <c r="H14" s="1">
        <v>437100000</v>
      </c>
      <c r="I14" s="1" t="s">
        <v>91</v>
      </c>
      <c r="J14" s="1" t="s">
        <v>91</v>
      </c>
    </row>
    <row r="15" spans="1:19" ht="20" x14ac:dyDescent="0.25">
      <c r="A15" s="5" t="s">
        <v>10</v>
      </c>
      <c r="B15" s="1">
        <v>61940000</v>
      </c>
      <c r="C15" s="1">
        <v>104670000</v>
      </c>
      <c r="D15" s="1">
        <v>171566000</v>
      </c>
      <c r="E15" s="1">
        <v>209484000</v>
      </c>
      <c r="F15" s="1">
        <v>320100000</v>
      </c>
      <c r="G15" s="1">
        <v>401200000</v>
      </c>
      <c r="H15" s="1">
        <v>437100000</v>
      </c>
      <c r="I15" s="1">
        <v>576900000</v>
      </c>
      <c r="J15" s="1">
        <v>679700000</v>
      </c>
      <c r="P15" s="19" t="s">
        <v>125</v>
      </c>
      <c r="Q15" s="20" t="s">
        <v>126</v>
      </c>
      <c r="R15" s="20" t="s">
        <v>127</v>
      </c>
      <c r="S15" s="20" t="s">
        <v>128</v>
      </c>
    </row>
    <row r="16" spans="1:19" ht="19" x14ac:dyDescent="0.25">
      <c r="A16" s="5" t="s">
        <v>11</v>
      </c>
      <c r="B16" s="1">
        <v>191745000</v>
      </c>
      <c r="C16" s="1">
        <v>249876000</v>
      </c>
      <c r="D16" s="1">
        <v>363275000</v>
      </c>
      <c r="E16" s="1">
        <v>453053000</v>
      </c>
      <c r="F16" s="1">
        <v>633800000</v>
      </c>
      <c r="G16" s="1">
        <v>766000000</v>
      </c>
      <c r="H16" s="1">
        <v>786800000</v>
      </c>
      <c r="I16" s="1">
        <v>941700000</v>
      </c>
      <c r="J16" s="1">
        <v>1081500000</v>
      </c>
      <c r="P16" s="35">
        <f>SUM(F35:J35)/5</f>
        <v>-1.0610186344404115E-2</v>
      </c>
      <c r="Q16" s="36">
        <f>R101/J3</f>
        <v>1.8170287592440428</v>
      </c>
      <c r="R16" s="36">
        <f>R101/J28</f>
        <v>30.417111416781292</v>
      </c>
      <c r="S16" s="37">
        <f>R101/J107</f>
        <v>32.424105571847505</v>
      </c>
    </row>
    <row r="17" spans="1:19" ht="19" x14ac:dyDescent="0.25">
      <c r="A17" s="5" t="s">
        <v>12</v>
      </c>
      <c r="B17" s="1">
        <v>7058000</v>
      </c>
      <c r="C17" s="1">
        <v>7851000</v>
      </c>
      <c r="D17" s="1">
        <v>11555000</v>
      </c>
      <c r="E17" s="1">
        <v>12677000</v>
      </c>
      <c r="F17" s="1">
        <v>14100000</v>
      </c>
      <c r="G17" s="1">
        <v>21000000</v>
      </c>
      <c r="H17" s="1" t="s">
        <v>91</v>
      </c>
      <c r="I17" s="1">
        <v>28700000</v>
      </c>
      <c r="J17" s="1">
        <v>32100000</v>
      </c>
    </row>
    <row r="18" spans="1:19" ht="20" x14ac:dyDescent="0.25">
      <c r="A18" s="5" t="s">
        <v>13</v>
      </c>
      <c r="B18" s="1">
        <v>3394000</v>
      </c>
      <c r="C18" s="1">
        <v>5916000</v>
      </c>
      <c r="D18" s="1">
        <v>8521000</v>
      </c>
      <c r="E18" s="1">
        <v>14219000</v>
      </c>
      <c r="F18" s="1">
        <v>22700000</v>
      </c>
      <c r="G18" s="1">
        <v>63100000</v>
      </c>
      <c r="H18" s="1">
        <v>84600000</v>
      </c>
      <c r="I18" s="1">
        <v>95800000</v>
      </c>
      <c r="J18" s="1">
        <v>109100000</v>
      </c>
      <c r="P18" s="19" t="s">
        <v>129</v>
      </c>
      <c r="Q18" s="20" t="s">
        <v>130</v>
      </c>
      <c r="R18" s="20" t="s">
        <v>131</v>
      </c>
      <c r="S18" s="20" t="s">
        <v>132</v>
      </c>
    </row>
    <row r="19" spans="1:19" ht="19" x14ac:dyDescent="0.25">
      <c r="A19" s="6" t="s">
        <v>14</v>
      </c>
      <c r="B19" s="10">
        <v>29584000</v>
      </c>
      <c r="C19" s="10">
        <v>46725000</v>
      </c>
      <c r="D19" s="10">
        <v>50616000</v>
      </c>
      <c r="E19" s="10">
        <v>152136000</v>
      </c>
      <c r="F19" s="10">
        <v>219300000</v>
      </c>
      <c r="G19" s="10">
        <v>247800000</v>
      </c>
      <c r="H19" s="10">
        <v>170600000</v>
      </c>
      <c r="I19" s="10">
        <v>242200000</v>
      </c>
      <c r="J19" s="10">
        <v>135500000</v>
      </c>
      <c r="K19" s="38">
        <v>329800000</v>
      </c>
      <c r="L19" s="38">
        <v>389400000</v>
      </c>
      <c r="M19" s="38">
        <v>436600000</v>
      </c>
      <c r="N19" s="38">
        <v>869100000</v>
      </c>
      <c r="O19" s="38">
        <v>1055000000</v>
      </c>
      <c r="P19" s="39">
        <f>J40-J56-J61</f>
        <v>-467500000</v>
      </c>
      <c r="Q19" s="36">
        <f>R101/K3</f>
        <v>1.5431430565247732</v>
      </c>
      <c r="R19" s="36">
        <f>R101/K28</f>
        <v>14.529067017082786</v>
      </c>
      <c r="S19" s="37">
        <f>R101/K106</f>
        <v>14.53861932938856</v>
      </c>
    </row>
    <row r="20" spans="1:19" ht="19" customHeight="1" x14ac:dyDescent="0.25">
      <c r="A20" s="15" t="s">
        <v>101</v>
      </c>
      <c r="B20" s="1"/>
      <c r="C20" s="16">
        <f>(C19/B19)-1</f>
        <v>0.57940102758247702</v>
      </c>
      <c r="D20" s="16">
        <f>(D19/C19)-1</f>
        <v>8.3274478330658042E-2</v>
      </c>
      <c r="E20" s="16">
        <f>(E19/D19)-1</f>
        <v>2.0056899004267423</v>
      </c>
      <c r="F20" s="16">
        <f t="shared" ref="F20:O20" si="4">(F19/E19)-1</f>
        <v>0.44147341852027133</v>
      </c>
      <c r="G20" s="16">
        <f t="shared" si="4"/>
        <v>0.12995896032831733</v>
      </c>
      <c r="H20" s="16">
        <f t="shared" si="4"/>
        <v>-0.31154156577885395</v>
      </c>
      <c r="I20" s="16">
        <f t="shared" si="4"/>
        <v>0.41969519343493555</v>
      </c>
      <c r="J20" s="16">
        <f t="shared" si="4"/>
        <v>-0.44054500412881914</v>
      </c>
      <c r="K20" s="17">
        <f>(K19/J19)-1</f>
        <v>1.4339483394833947</v>
      </c>
      <c r="L20" s="17">
        <f t="shared" si="4"/>
        <v>0.18071558520315345</v>
      </c>
      <c r="M20" s="17">
        <f t="shared" si="4"/>
        <v>0.1212121212121211</v>
      </c>
      <c r="N20" s="17">
        <f t="shared" si="4"/>
        <v>0.99060925332111771</v>
      </c>
      <c r="O20" s="17">
        <f t="shared" si="4"/>
        <v>0.21389943619836616</v>
      </c>
    </row>
    <row r="21" spans="1:19" ht="20" x14ac:dyDescent="0.25">
      <c r="A21" s="5" t="s">
        <v>15</v>
      </c>
      <c r="B21" s="2">
        <v>0.13539999999999999</v>
      </c>
      <c r="C21" s="2">
        <v>0.16070000000000001</v>
      </c>
      <c r="D21" s="2">
        <v>0.12540000000000001</v>
      </c>
      <c r="E21" s="2">
        <v>0.25729999999999997</v>
      </c>
      <c r="F21" s="2">
        <v>0.2641</v>
      </c>
      <c r="G21" s="2">
        <v>0.2586</v>
      </c>
      <c r="H21" s="2">
        <v>0.1888</v>
      </c>
      <c r="I21" s="2">
        <v>0.2205</v>
      </c>
      <c r="J21" s="2">
        <v>0.1113</v>
      </c>
      <c r="K21" s="40">
        <f>K19/K3</f>
        <v>0.23014654570830426</v>
      </c>
      <c r="L21" s="40">
        <f t="shared" ref="L21:O21" si="5">L19/L3</f>
        <v>0.2509020618556701</v>
      </c>
      <c r="M21" s="40">
        <f t="shared" si="5"/>
        <v>0.26206482593037217</v>
      </c>
      <c r="N21" s="40">
        <f t="shared" si="5"/>
        <v>0.51486966824644553</v>
      </c>
      <c r="O21" s="40">
        <f t="shared" si="5"/>
        <v>0.35154948350549819</v>
      </c>
      <c r="R21" s="19" t="s">
        <v>133</v>
      </c>
      <c r="S21" s="20" t="s">
        <v>134</v>
      </c>
    </row>
    <row r="22" spans="1:19" ht="19" x14ac:dyDescent="0.25">
      <c r="A22" s="6" t="s">
        <v>16</v>
      </c>
      <c r="B22" s="10">
        <v>26669000</v>
      </c>
      <c r="C22" s="10">
        <v>40954000</v>
      </c>
      <c r="D22" s="10">
        <v>40502000</v>
      </c>
      <c r="E22" s="10">
        <v>138128000</v>
      </c>
      <c r="F22" s="10">
        <v>196700000</v>
      </c>
      <c r="G22" s="10">
        <v>192100000</v>
      </c>
      <c r="H22" s="10">
        <v>116900000</v>
      </c>
      <c r="I22" s="10">
        <v>156700000</v>
      </c>
      <c r="J22" s="10">
        <v>26400000</v>
      </c>
      <c r="R22" s="41">
        <f>(-1*J98)/R101</f>
        <v>0</v>
      </c>
      <c r="S22" s="42">
        <f>J107/R101</f>
        <v>3.0841251666422469E-2</v>
      </c>
    </row>
    <row r="23" spans="1:19" ht="19" x14ac:dyDescent="0.25">
      <c r="A23" s="5" t="s">
        <v>17</v>
      </c>
      <c r="B23" s="2">
        <v>0.1221</v>
      </c>
      <c r="C23" s="2">
        <v>0.14080000000000001</v>
      </c>
      <c r="D23" s="2">
        <v>0.1003</v>
      </c>
      <c r="E23" s="2">
        <v>0.2336</v>
      </c>
      <c r="F23" s="2">
        <v>0.23680000000000001</v>
      </c>
      <c r="G23" s="2">
        <v>0.20050000000000001</v>
      </c>
      <c r="H23" s="2">
        <v>0.12939999999999999</v>
      </c>
      <c r="I23" s="2">
        <v>0.14269999999999999</v>
      </c>
      <c r="J23" s="2">
        <v>2.1700000000000001E-2</v>
      </c>
    </row>
    <row r="24" spans="1:19" ht="19" x14ac:dyDescent="0.25">
      <c r="A24" s="5" t="s">
        <v>18</v>
      </c>
      <c r="B24" s="1">
        <v>-7537000</v>
      </c>
      <c r="C24" s="1">
        <v>-7996000</v>
      </c>
      <c r="D24" s="1">
        <v>-9962000</v>
      </c>
      <c r="E24" s="1">
        <v>-12888000</v>
      </c>
      <c r="F24" s="1">
        <v>-14200000</v>
      </c>
      <c r="G24" s="1">
        <v>-28400000</v>
      </c>
      <c r="H24" s="1">
        <v>-30900000</v>
      </c>
      <c r="I24" s="1">
        <v>-39000000</v>
      </c>
      <c r="J24" s="1">
        <v>67100000</v>
      </c>
    </row>
    <row r="25" spans="1:19" ht="19" x14ac:dyDescent="0.25">
      <c r="A25" s="6" t="s">
        <v>19</v>
      </c>
      <c r="B25" s="10">
        <v>19132000</v>
      </c>
      <c r="C25" s="10">
        <v>32958000</v>
      </c>
      <c r="D25" s="10">
        <v>30540000</v>
      </c>
      <c r="E25" s="10">
        <v>125240000</v>
      </c>
      <c r="F25" s="10">
        <v>182500000</v>
      </c>
      <c r="G25" s="10">
        <v>163700000</v>
      </c>
      <c r="H25" s="10">
        <v>86000000</v>
      </c>
      <c r="I25" s="10">
        <v>117700000</v>
      </c>
      <c r="J25" s="10">
        <v>93500000</v>
      </c>
    </row>
    <row r="26" spans="1:19" ht="19" x14ac:dyDescent="0.25">
      <c r="A26" s="5" t="s">
        <v>20</v>
      </c>
      <c r="B26" s="2">
        <v>8.7599999999999997E-2</v>
      </c>
      <c r="C26" s="2">
        <v>0.1133</v>
      </c>
      <c r="D26" s="2">
        <v>7.5600000000000001E-2</v>
      </c>
      <c r="E26" s="2">
        <v>0.21179999999999999</v>
      </c>
      <c r="F26" s="2">
        <v>0.21970000000000001</v>
      </c>
      <c r="G26" s="2">
        <v>0.1709</v>
      </c>
      <c r="H26" s="2">
        <v>9.5200000000000007E-2</v>
      </c>
      <c r="I26" s="2">
        <v>0.1072</v>
      </c>
      <c r="J26" s="2">
        <v>7.6799999999999993E-2</v>
      </c>
    </row>
    <row r="27" spans="1:19" ht="19" x14ac:dyDescent="0.25">
      <c r="A27" s="5" t="s">
        <v>21</v>
      </c>
      <c r="B27" s="1">
        <v>4707000</v>
      </c>
      <c r="C27" s="1">
        <v>6473000</v>
      </c>
      <c r="D27" s="1">
        <v>8900000</v>
      </c>
      <c r="E27" s="1">
        <v>29185000</v>
      </c>
      <c r="F27" s="1">
        <v>38900000</v>
      </c>
      <c r="G27" s="1">
        <v>12000000</v>
      </c>
      <c r="H27" s="1">
        <v>15800000</v>
      </c>
      <c r="I27" s="1">
        <v>23100000</v>
      </c>
      <c r="J27" s="1">
        <v>24600000</v>
      </c>
    </row>
    <row r="28" spans="1:19" ht="20" thickBot="1" x14ac:dyDescent="0.3">
      <c r="A28" s="7" t="s">
        <v>22</v>
      </c>
      <c r="B28" s="11">
        <v>14425000</v>
      </c>
      <c r="C28" s="11">
        <v>26485000</v>
      </c>
      <c r="D28" s="11">
        <v>21640000</v>
      </c>
      <c r="E28" s="11">
        <v>96055000</v>
      </c>
      <c r="F28" s="11">
        <v>143600000</v>
      </c>
      <c r="G28" s="11">
        <v>151700000</v>
      </c>
      <c r="H28" s="11">
        <v>70200000</v>
      </c>
      <c r="I28" s="11">
        <v>94600000</v>
      </c>
      <c r="J28" s="11">
        <v>72700000</v>
      </c>
      <c r="K28" s="43">
        <v>152200000</v>
      </c>
      <c r="L28" s="43">
        <v>186600000</v>
      </c>
      <c r="M28" s="43">
        <v>208500000</v>
      </c>
      <c r="N28" s="43">
        <v>208100000</v>
      </c>
      <c r="O28" s="43">
        <v>616500000</v>
      </c>
    </row>
    <row r="29" spans="1:19" ht="20" customHeight="1" thickTop="1" x14ac:dyDescent="0.25">
      <c r="A29" s="15" t="s">
        <v>102</v>
      </c>
      <c r="B29" s="1"/>
      <c r="C29" s="16">
        <f>(C28/B28)-1</f>
        <v>0.83604852686308484</v>
      </c>
      <c r="D29" s="16">
        <f>(D28/C28)-1</f>
        <v>-0.18293373607702468</v>
      </c>
      <c r="E29" s="16">
        <f>(E28/D28)-1</f>
        <v>3.4387707948243991</v>
      </c>
      <c r="F29" s="16">
        <f t="shared" ref="F29:O29" si="6">(F28/E28)-1</f>
        <v>0.4949768361876008</v>
      </c>
      <c r="G29" s="16">
        <f t="shared" si="6"/>
        <v>5.6406685236768839E-2</v>
      </c>
      <c r="H29" s="16">
        <f t="shared" si="6"/>
        <v>-0.53724456163480561</v>
      </c>
      <c r="I29" s="16">
        <f t="shared" si="6"/>
        <v>0.3475783475783476</v>
      </c>
      <c r="J29" s="16">
        <f t="shared" si="6"/>
        <v>-0.23150105708245239</v>
      </c>
      <c r="K29" s="17">
        <f>(K28/J28)-1</f>
        <v>1.0935350756533699</v>
      </c>
      <c r="L29" s="17">
        <f t="shared" si="6"/>
        <v>0.22601839684625502</v>
      </c>
      <c r="M29" s="17">
        <f t="shared" si="6"/>
        <v>0.11736334405144699</v>
      </c>
      <c r="N29" s="17">
        <f t="shared" si="6"/>
        <v>-1.9184652278178005E-3</v>
      </c>
      <c r="O29" s="17">
        <f t="shared" si="6"/>
        <v>1.9625180201826047</v>
      </c>
    </row>
    <row r="30" spans="1:19" ht="19" x14ac:dyDescent="0.25">
      <c r="A30" s="5" t="s">
        <v>23</v>
      </c>
      <c r="B30" s="2">
        <v>6.6000000000000003E-2</v>
      </c>
      <c r="C30" s="2">
        <v>9.11E-2</v>
      </c>
      <c r="D30" s="2">
        <v>5.3600000000000002E-2</v>
      </c>
      <c r="E30" s="2">
        <v>0.16250000000000001</v>
      </c>
      <c r="F30" s="2">
        <v>0.1729</v>
      </c>
      <c r="G30" s="2">
        <v>0.1583</v>
      </c>
      <c r="H30" s="2">
        <v>7.7700000000000005E-2</v>
      </c>
      <c r="I30" s="2">
        <v>8.6099999999999996E-2</v>
      </c>
      <c r="J30" s="2">
        <v>5.9700000000000003E-2</v>
      </c>
      <c r="K30" s="44">
        <f>K28/K3</f>
        <v>0.10621074668527565</v>
      </c>
      <c r="L30" s="44">
        <f t="shared" ref="L30:O30" si="7">L28/L3</f>
        <v>0.1202319587628866</v>
      </c>
      <c r="M30" s="44">
        <f t="shared" si="7"/>
        <v>0.12515006002400961</v>
      </c>
      <c r="N30" s="44">
        <f t="shared" si="7"/>
        <v>0.12328199052132702</v>
      </c>
      <c r="O30" s="44">
        <f t="shared" si="7"/>
        <v>0.20543152282572477</v>
      </c>
    </row>
    <row r="31" spans="1:19" ht="19" x14ac:dyDescent="0.25">
      <c r="A31" s="5" t="s">
        <v>24</v>
      </c>
      <c r="B31" s="12">
        <v>0.14000000000000001</v>
      </c>
      <c r="C31" s="12">
        <v>0.24</v>
      </c>
      <c r="D31" s="12">
        <v>0.22</v>
      </c>
      <c r="E31" s="12">
        <v>0.9</v>
      </c>
      <c r="F31" s="12">
        <v>1.31</v>
      </c>
      <c r="G31" s="12">
        <v>1.38</v>
      </c>
      <c r="H31" s="12">
        <v>0.64</v>
      </c>
      <c r="I31" s="12">
        <v>0.86</v>
      </c>
      <c r="J31" s="12">
        <v>0.69</v>
      </c>
      <c r="K31" s="45">
        <v>1.46</v>
      </c>
      <c r="L31" s="45">
        <v>1.8</v>
      </c>
      <c r="M31" s="45">
        <v>2.0099999999999998</v>
      </c>
      <c r="N31" s="45">
        <v>2</v>
      </c>
      <c r="O31" s="45">
        <v>5.93</v>
      </c>
    </row>
    <row r="32" spans="1:19" ht="19" x14ac:dyDescent="0.25">
      <c r="A32" s="5" t="s">
        <v>25</v>
      </c>
      <c r="B32" s="12">
        <v>0.13</v>
      </c>
      <c r="C32" s="12">
        <v>0.24</v>
      </c>
      <c r="D32" s="12">
        <v>0.21</v>
      </c>
      <c r="E32" s="12">
        <v>0.86</v>
      </c>
      <c r="F32" s="12">
        <v>1.28</v>
      </c>
      <c r="G32" s="12">
        <v>1.36</v>
      </c>
      <c r="H32" s="12">
        <v>0.63</v>
      </c>
      <c r="I32" s="12">
        <v>0.85</v>
      </c>
      <c r="J32" s="12">
        <v>0.69</v>
      </c>
    </row>
    <row r="33" spans="1:10" ht="19" x14ac:dyDescent="0.25">
      <c r="A33" s="5" t="s">
        <v>26</v>
      </c>
      <c r="B33" s="1">
        <v>106308154</v>
      </c>
      <c r="C33" s="1">
        <v>106308154</v>
      </c>
      <c r="D33" s="1">
        <v>100262026</v>
      </c>
      <c r="E33" s="1">
        <v>107250039</v>
      </c>
      <c r="F33" s="1">
        <v>109422574</v>
      </c>
      <c r="G33" s="1">
        <v>109892031</v>
      </c>
      <c r="H33" s="1">
        <v>110261600</v>
      </c>
      <c r="I33" s="1">
        <v>110261600</v>
      </c>
      <c r="J33" s="1">
        <v>105059000</v>
      </c>
    </row>
    <row r="34" spans="1:10" ht="19" x14ac:dyDescent="0.25">
      <c r="A34" s="5" t="s">
        <v>27</v>
      </c>
      <c r="B34" s="1">
        <v>108059624</v>
      </c>
      <c r="C34" s="1">
        <v>107988361</v>
      </c>
      <c r="D34" s="1">
        <v>102023196</v>
      </c>
      <c r="E34" s="1">
        <v>111519238</v>
      </c>
      <c r="F34" s="1">
        <v>111767584</v>
      </c>
      <c r="G34" s="1">
        <v>111168788</v>
      </c>
      <c r="H34" s="1">
        <v>111112173</v>
      </c>
      <c r="I34" s="1">
        <v>111112173</v>
      </c>
      <c r="J34" s="1">
        <v>105622000</v>
      </c>
    </row>
    <row r="35" spans="1:10" ht="20" customHeight="1" x14ac:dyDescent="0.25">
      <c r="A35" s="15" t="s">
        <v>103</v>
      </c>
      <c r="B35" s="1"/>
      <c r="C35" s="23">
        <f>(C34-B34)/B34</f>
        <v>-6.594785116039271E-4</v>
      </c>
      <c r="D35" s="23">
        <f t="shared" ref="D35:J35" si="8">(D34-C34)/C34</f>
        <v>-5.5238962280388715E-2</v>
      </c>
      <c r="E35" s="23">
        <f t="shared" si="8"/>
        <v>9.3077284110958447E-2</v>
      </c>
      <c r="F35" s="23">
        <f t="shared" si="8"/>
        <v>2.2269341546254109E-3</v>
      </c>
      <c r="G35" s="23">
        <f t="shared" si="8"/>
        <v>-5.3575104566991449E-3</v>
      </c>
      <c r="H35" s="23">
        <f t="shared" si="8"/>
        <v>-5.0927064168406692E-4</v>
      </c>
      <c r="I35" s="23">
        <f t="shared" si="8"/>
        <v>0</v>
      </c>
      <c r="J35" s="23">
        <f t="shared" si="8"/>
        <v>-4.9411084778262775E-2</v>
      </c>
    </row>
    <row r="36" spans="1:10" ht="19" x14ac:dyDescent="0.25">
      <c r="A36" s="5" t="s">
        <v>28</v>
      </c>
      <c r="B36" s="13" t="s">
        <v>92</v>
      </c>
      <c r="C36" s="13" t="s">
        <v>92</v>
      </c>
      <c r="D36" s="13" t="s">
        <v>92</v>
      </c>
      <c r="E36" s="13" t="s">
        <v>92</v>
      </c>
      <c r="F36" s="13" t="s">
        <v>92</v>
      </c>
      <c r="G36" s="13" t="s">
        <v>92</v>
      </c>
      <c r="H36" s="13" t="s">
        <v>92</v>
      </c>
      <c r="I36" s="13" t="s">
        <v>92</v>
      </c>
      <c r="J36" s="13"/>
    </row>
    <row r="37" spans="1:10" ht="21" x14ac:dyDescent="0.25">
      <c r="A37" s="4" t="s">
        <v>29</v>
      </c>
      <c r="B37" s="9" t="s">
        <v>90</v>
      </c>
      <c r="C37" s="9" t="s">
        <v>90</v>
      </c>
      <c r="D37" s="9" t="s">
        <v>90</v>
      </c>
      <c r="E37" s="9" t="s">
        <v>90</v>
      </c>
      <c r="F37" s="9" t="s">
        <v>90</v>
      </c>
      <c r="G37" s="9" t="s">
        <v>90</v>
      </c>
      <c r="H37" s="9" t="s">
        <v>90</v>
      </c>
      <c r="I37" s="9" t="s">
        <v>90</v>
      </c>
      <c r="J37" s="9"/>
    </row>
    <row r="38" spans="1:10" ht="19" x14ac:dyDescent="0.25">
      <c r="A38" s="5" t="s">
        <v>30</v>
      </c>
      <c r="B38" s="1">
        <v>5918000</v>
      </c>
      <c r="C38" s="1">
        <v>7226000</v>
      </c>
      <c r="D38" s="1">
        <v>9678000</v>
      </c>
      <c r="E38" s="1">
        <v>95290000</v>
      </c>
      <c r="F38" s="1">
        <v>88600000</v>
      </c>
      <c r="G38" s="1">
        <v>31700000</v>
      </c>
      <c r="H38" s="1">
        <v>477900000</v>
      </c>
      <c r="I38" s="1">
        <v>287700000</v>
      </c>
      <c r="J38" s="1">
        <v>286500000</v>
      </c>
    </row>
    <row r="39" spans="1:10" ht="19" x14ac:dyDescent="0.25">
      <c r="A39" s="5" t="s">
        <v>31</v>
      </c>
      <c r="B39" s="1" t="s">
        <v>91</v>
      </c>
      <c r="C39" s="1" t="s">
        <v>91</v>
      </c>
      <c r="D39" s="1" t="s">
        <v>91</v>
      </c>
      <c r="E39" s="1" t="s">
        <v>91</v>
      </c>
      <c r="F39" s="1" t="s">
        <v>91</v>
      </c>
      <c r="G39" s="1" t="s">
        <v>91</v>
      </c>
      <c r="H39" s="1" t="s">
        <v>91</v>
      </c>
      <c r="I39" s="1" t="s">
        <v>91</v>
      </c>
      <c r="J39" s="1" t="s">
        <v>91</v>
      </c>
    </row>
    <row r="40" spans="1:10" ht="19" x14ac:dyDescent="0.25">
      <c r="A40" s="5" t="s">
        <v>32</v>
      </c>
      <c r="B40" s="1">
        <v>5918000</v>
      </c>
      <c r="C40" s="1">
        <v>7226000</v>
      </c>
      <c r="D40" s="1">
        <v>9678000</v>
      </c>
      <c r="E40" s="1">
        <v>95290000</v>
      </c>
      <c r="F40" s="1">
        <v>88600000</v>
      </c>
      <c r="G40" s="1">
        <v>31700000</v>
      </c>
      <c r="H40" s="1">
        <v>477900000</v>
      </c>
      <c r="I40" s="1">
        <v>287700000</v>
      </c>
      <c r="J40" s="1">
        <v>286500000</v>
      </c>
    </row>
    <row r="41" spans="1:10" ht="19" x14ac:dyDescent="0.25">
      <c r="A41" s="5" t="s">
        <v>33</v>
      </c>
      <c r="B41" s="1">
        <v>14109000</v>
      </c>
      <c r="C41" s="1">
        <v>17475000</v>
      </c>
      <c r="D41" s="1">
        <v>12925000</v>
      </c>
      <c r="E41" s="1">
        <v>17037000</v>
      </c>
      <c r="F41" s="1">
        <v>24400000</v>
      </c>
      <c r="G41" s="1">
        <v>44300000</v>
      </c>
      <c r="H41" s="1">
        <v>45700000</v>
      </c>
      <c r="I41" s="1">
        <v>43800000</v>
      </c>
      <c r="J41" s="1">
        <v>51800000</v>
      </c>
    </row>
    <row r="42" spans="1:10" ht="19" x14ac:dyDescent="0.25">
      <c r="A42" s="5" t="s">
        <v>34</v>
      </c>
      <c r="B42" s="1">
        <v>69776000</v>
      </c>
      <c r="C42" s="1">
        <v>119506000</v>
      </c>
      <c r="D42" s="1">
        <v>125464000</v>
      </c>
      <c r="E42" s="1">
        <v>165372000</v>
      </c>
      <c r="F42" s="1">
        <v>267300000</v>
      </c>
      <c r="G42" s="1">
        <v>412300000</v>
      </c>
      <c r="H42" s="1">
        <v>342300000</v>
      </c>
      <c r="I42" s="1">
        <v>393300000</v>
      </c>
      <c r="J42" s="1">
        <v>472600000</v>
      </c>
    </row>
    <row r="43" spans="1:10" ht="19" x14ac:dyDescent="0.25">
      <c r="A43" s="5" t="s">
        <v>35</v>
      </c>
      <c r="B43" s="1">
        <v>4087000</v>
      </c>
      <c r="C43" s="1">
        <v>10525000</v>
      </c>
      <c r="D43" s="1">
        <v>15156000</v>
      </c>
      <c r="E43" s="1">
        <v>23270000</v>
      </c>
      <c r="F43" s="1">
        <v>32900000</v>
      </c>
      <c r="G43" s="1">
        <v>35900000</v>
      </c>
      <c r="H43" s="1">
        <v>31000000</v>
      </c>
      <c r="I43" s="1">
        <v>37500000</v>
      </c>
      <c r="J43" s="1">
        <v>52300000</v>
      </c>
    </row>
    <row r="44" spans="1:10" ht="19" x14ac:dyDescent="0.25">
      <c r="A44" s="6" t="s">
        <v>36</v>
      </c>
      <c r="B44" s="10">
        <v>93890000</v>
      </c>
      <c r="C44" s="10">
        <v>154732000</v>
      </c>
      <c r="D44" s="10">
        <v>163223000</v>
      </c>
      <c r="E44" s="10">
        <v>300969000</v>
      </c>
      <c r="F44" s="10">
        <v>413200000</v>
      </c>
      <c r="G44" s="10">
        <v>524200000</v>
      </c>
      <c r="H44" s="10">
        <v>896900000</v>
      </c>
      <c r="I44" s="10">
        <v>762300000</v>
      </c>
      <c r="J44" s="10">
        <v>863200000</v>
      </c>
    </row>
    <row r="45" spans="1:10" ht="19" x14ac:dyDescent="0.25">
      <c r="A45" s="5" t="s">
        <v>37</v>
      </c>
      <c r="B45" s="1">
        <v>12571000</v>
      </c>
      <c r="C45" s="1">
        <v>24430000</v>
      </c>
      <c r="D45" s="1">
        <v>36467000</v>
      </c>
      <c r="E45" s="1">
        <v>60172000</v>
      </c>
      <c r="F45" s="1">
        <v>84300000</v>
      </c>
      <c r="G45" s="1">
        <v>326900000</v>
      </c>
      <c r="H45" s="1">
        <v>350200000</v>
      </c>
      <c r="I45" s="1">
        <v>329400000</v>
      </c>
      <c r="J45" s="1">
        <v>447800000</v>
      </c>
    </row>
    <row r="46" spans="1:10" ht="19" x14ac:dyDescent="0.25">
      <c r="A46" s="5" t="s">
        <v>38</v>
      </c>
      <c r="B46" s="1">
        <v>44537000</v>
      </c>
      <c r="C46" s="1">
        <v>44537000</v>
      </c>
      <c r="D46" s="1">
        <v>45269000</v>
      </c>
      <c r="E46" s="1">
        <v>45269000</v>
      </c>
      <c r="F46" s="1">
        <v>53100000</v>
      </c>
      <c r="G46" s="1">
        <v>53100000</v>
      </c>
      <c r="H46" s="1">
        <v>53100000</v>
      </c>
      <c r="I46" s="1">
        <v>53100000</v>
      </c>
      <c r="J46" s="1">
        <v>63900000</v>
      </c>
    </row>
    <row r="47" spans="1:10" ht="19" x14ac:dyDescent="0.25">
      <c r="A47" s="5" t="s">
        <v>39</v>
      </c>
      <c r="B47" s="1">
        <v>122046000</v>
      </c>
      <c r="C47" s="1">
        <v>125677000</v>
      </c>
      <c r="D47" s="1">
        <v>131912000</v>
      </c>
      <c r="E47" s="1">
        <v>136800000</v>
      </c>
      <c r="F47" s="1">
        <v>155600000</v>
      </c>
      <c r="G47" s="1">
        <v>161700000</v>
      </c>
      <c r="H47" s="1">
        <v>155000000</v>
      </c>
      <c r="I47" s="1">
        <v>122200000</v>
      </c>
      <c r="J47" s="1">
        <v>135100000</v>
      </c>
    </row>
    <row r="48" spans="1:10" ht="19" x14ac:dyDescent="0.25">
      <c r="A48" s="5" t="s">
        <v>40</v>
      </c>
      <c r="B48" s="1">
        <v>166583000</v>
      </c>
      <c r="C48" s="1">
        <v>170214000</v>
      </c>
      <c r="D48" s="1">
        <v>177181000</v>
      </c>
      <c r="E48" s="1">
        <v>182069000</v>
      </c>
      <c r="F48" s="1">
        <v>208700000</v>
      </c>
      <c r="G48" s="1">
        <v>214800000</v>
      </c>
      <c r="H48" s="1">
        <v>208100000</v>
      </c>
      <c r="I48" s="1">
        <v>175300000</v>
      </c>
      <c r="J48" s="1">
        <v>199000000</v>
      </c>
    </row>
    <row r="49" spans="1:10" ht="19" x14ac:dyDescent="0.25">
      <c r="A49" s="5" t="s">
        <v>41</v>
      </c>
      <c r="B49" s="1" t="s">
        <v>91</v>
      </c>
      <c r="C49" s="1" t="s">
        <v>91</v>
      </c>
      <c r="D49" s="1" t="s">
        <v>91</v>
      </c>
      <c r="E49" s="1" t="s">
        <v>91</v>
      </c>
      <c r="F49" s="1" t="s">
        <v>91</v>
      </c>
      <c r="G49" s="1" t="s">
        <v>91</v>
      </c>
      <c r="H49" s="1" t="s">
        <v>91</v>
      </c>
      <c r="I49" s="1" t="s">
        <v>91</v>
      </c>
      <c r="J49" s="1" t="s">
        <v>91</v>
      </c>
    </row>
    <row r="50" spans="1:10" ht="19" x14ac:dyDescent="0.25">
      <c r="A50" s="5" t="s">
        <v>42</v>
      </c>
      <c r="B50" s="1">
        <v>1781000</v>
      </c>
      <c r="C50" s="1">
        <v>3642000</v>
      </c>
      <c r="D50" s="1">
        <v>3998000</v>
      </c>
      <c r="E50" s="1">
        <v>3045000</v>
      </c>
      <c r="F50" s="1">
        <v>12200000</v>
      </c>
      <c r="G50" s="1">
        <v>15100000</v>
      </c>
      <c r="H50" s="1">
        <v>46900000</v>
      </c>
      <c r="I50" s="1">
        <v>53200000</v>
      </c>
      <c r="J50" s="1">
        <v>67500000</v>
      </c>
    </row>
    <row r="51" spans="1:10" ht="19" x14ac:dyDescent="0.25">
      <c r="A51" s="5" t="s">
        <v>43</v>
      </c>
      <c r="B51" s="1" t="s">
        <v>91</v>
      </c>
      <c r="C51" s="1" t="s">
        <v>91</v>
      </c>
      <c r="D51" s="1" t="s">
        <v>91</v>
      </c>
      <c r="E51" s="1">
        <v>2183000</v>
      </c>
      <c r="F51" s="1">
        <v>7000000</v>
      </c>
      <c r="G51" s="1">
        <v>31700000</v>
      </c>
      <c r="H51" s="1">
        <v>5100000</v>
      </c>
      <c r="I51" s="1">
        <v>20400000</v>
      </c>
      <c r="J51" s="1">
        <v>12500000</v>
      </c>
    </row>
    <row r="52" spans="1:10" ht="19" x14ac:dyDescent="0.25">
      <c r="A52" s="5" t="s">
        <v>44</v>
      </c>
      <c r="B52" s="1">
        <v>180935000</v>
      </c>
      <c r="C52" s="1">
        <v>198286000</v>
      </c>
      <c r="D52" s="1">
        <v>217646000</v>
      </c>
      <c r="E52" s="1">
        <v>247469000</v>
      </c>
      <c r="F52" s="1">
        <v>312200000</v>
      </c>
      <c r="G52" s="1">
        <v>588500000</v>
      </c>
      <c r="H52" s="1">
        <v>610300000</v>
      </c>
      <c r="I52" s="1">
        <v>578300000</v>
      </c>
      <c r="J52" s="1">
        <v>726800000</v>
      </c>
    </row>
    <row r="53" spans="1:10" ht="19" x14ac:dyDescent="0.25">
      <c r="A53" s="5" t="s">
        <v>45</v>
      </c>
      <c r="B53" s="1" t="s">
        <v>91</v>
      </c>
      <c r="C53" s="1" t="s">
        <v>91</v>
      </c>
      <c r="D53" s="1" t="s">
        <v>91</v>
      </c>
      <c r="E53" s="1" t="s">
        <v>91</v>
      </c>
      <c r="F53" s="1" t="s">
        <v>91</v>
      </c>
      <c r="G53" s="1" t="s">
        <v>91</v>
      </c>
      <c r="H53" s="1" t="s">
        <v>91</v>
      </c>
      <c r="I53" s="1" t="s">
        <v>91</v>
      </c>
      <c r="J53" s="1" t="s">
        <v>91</v>
      </c>
    </row>
    <row r="54" spans="1:10" ht="20" thickBot="1" x14ac:dyDescent="0.3">
      <c r="A54" s="7" t="s">
        <v>46</v>
      </c>
      <c r="B54" s="11">
        <v>274825000</v>
      </c>
      <c r="C54" s="11">
        <v>353018000</v>
      </c>
      <c r="D54" s="11">
        <v>380869000</v>
      </c>
      <c r="E54" s="11">
        <v>548438000</v>
      </c>
      <c r="F54" s="11">
        <v>725400000</v>
      </c>
      <c r="G54" s="11">
        <v>1112700000</v>
      </c>
      <c r="H54" s="11">
        <v>1507200000</v>
      </c>
      <c r="I54" s="11">
        <v>1340600000</v>
      </c>
      <c r="J54" s="11">
        <v>1590000000</v>
      </c>
    </row>
    <row r="55" spans="1:10" ht="20" thickTop="1" x14ac:dyDescent="0.25">
      <c r="A55" s="5" t="s">
        <v>47</v>
      </c>
      <c r="B55" s="1">
        <v>12552000</v>
      </c>
      <c r="C55" s="1">
        <v>23408000</v>
      </c>
      <c r="D55" s="1">
        <v>25098000</v>
      </c>
      <c r="E55" s="1">
        <v>28012000</v>
      </c>
      <c r="F55" s="1">
        <v>46500000</v>
      </c>
      <c r="G55" s="1">
        <v>52600000</v>
      </c>
      <c r="H55" s="1">
        <v>78900000</v>
      </c>
      <c r="I55" s="1">
        <v>63900000</v>
      </c>
      <c r="J55" s="1">
        <v>195600000</v>
      </c>
    </row>
    <row r="56" spans="1:10" ht="19" x14ac:dyDescent="0.25">
      <c r="A56" s="5" t="s">
        <v>48</v>
      </c>
      <c r="B56" s="1">
        <v>1250000</v>
      </c>
      <c r="C56" s="1">
        <v>1250000</v>
      </c>
      <c r="D56" s="1" t="s">
        <v>91</v>
      </c>
      <c r="E56" s="1" t="s">
        <v>91</v>
      </c>
      <c r="F56" s="1" t="s">
        <v>91</v>
      </c>
      <c r="G56" s="1">
        <v>35900000</v>
      </c>
      <c r="H56" s="1">
        <v>45200000</v>
      </c>
      <c r="I56" s="1">
        <v>62300000</v>
      </c>
      <c r="J56" s="1">
        <v>103700000</v>
      </c>
    </row>
    <row r="57" spans="1:10" ht="19" x14ac:dyDescent="0.25">
      <c r="A57" s="5" t="s">
        <v>49</v>
      </c>
      <c r="B57" s="1">
        <v>398000</v>
      </c>
      <c r="C57" s="1">
        <v>7155000</v>
      </c>
      <c r="D57" s="1" t="s">
        <v>91</v>
      </c>
      <c r="E57" s="1">
        <v>17740000</v>
      </c>
      <c r="F57" s="1">
        <v>18100000</v>
      </c>
      <c r="G57" s="1">
        <v>13000000</v>
      </c>
      <c r="H57" s="1">
        <v>19100000</v>
      </c>
      <c r="I57" s="1">
        <v>24500000</v>
      </c>
      <c r="J57" s="1">
        <v>31500000</v>
      </c>
    </row>
    <row r="58" spans="1:10" ht="19" x14ac:dyDescent="0.25">
      <c r="A58" s="5" t="s">
        <v>50</v>
      </c>
      <c r="B58" s="1" t="s">
        <v>91</v>
      </c>
      <c r="C58" s="1" t="s">
        <v>91</v>
      </c>
      <c r="D58" s="1" t="s">
        <v>91</v>
      </c>
      <c r="E58" s="1" t="s">
        <v>91</v>
      </c>
      <c r="F58" s="1" t="s">
        <v>91</v>
      </c>
      <c r="G58" s="1" t="s">
        <v>91</v>
      </c>
      <c r="H58" s="1" t="s">
        <v>91</v>
      </c>
      <c r="I58" s="1" t="s">
        <v>91</v>
      </c>
      <c r="J58" s="1" t="s">
        <v>91</v>
      </c>
    </row>
    <row r="59" spans="1:10" ht="19" x14ac:dyDescent="0.25">
      <c r="A59" s="5" t="s">
        <v>51</v>
      </c>
      <c r="B59" s="1">
        <v>14897000</v>
      </c>
      <c r="C59" s="1">
        <v>18168000</v>
      </c>
      <c r="D59" s="1">
        <v>39171000</v>
      </c>
      <c r="E59" s="1">
        <v>87844000</v>
      </c>
      <c r="F59" s="1">
        <v>72000000</v>
      </c>
      <c r="G59" s="1">
        <v>99800000</v>
      </c>
      <c r="H59" s="1">
        <v>118900000</v>
      </c>
      <c r="I59" s="1">
        <v>130800000</v>
      </c>
      <c r="J59" s="1">
        <v>53100000</v>
      </c>
    </row>
    <row r="60" spans="1:10" ht="19" x14ac:dyDescent="0.25">
      <c r="A60" s="6" t="s">
        <v>52</v>
      </c>
      <c r="B60" s="10">
        <v>29097000</v>
      </c>
      <c r="C60" s="10">
        <v>49981000</v>
      </c>
      <c r="D60" s="10">
        <v>64269000</v>
      </c>
      <c r="E60" s="10">
        <v>133596000</v>
      </c>
      <c r="F60" s="10">
        <v>136600000</v>
      </c>
      <c r="G60" s="10">
        <v>201300000</v>
      </c>
      <c r="H60" s="10">
        <v>262100000</v>
      </c>
      <c r="I60" s="10">
        <v>281500000</v>
      </c>
      <c r="J60" s="10">
        <v>352400000</v>
      </c>
    </row>
    <row r="61" spans="1:10" ht="19" x14ac:dyDescent="0.25">
      <c r="A61" s="5" t="s">
        <v>53</v>
      </c>
      <c r="B61" s="1">
        <v>110133000</v>
      </c>
      <c r="C61" s="1">
        <v>138250000</v>
      </c>
      <c r="D61" s="1">
        <v>146089000</v>
      </c>
      <c r="E61" s="1">
        <v>137074000</v>
      </c>
      <c r="F61" s="1">
        <v>145200000</v>
      </c>
      <c r="G61" s="1">
        <v>350100000</v>
      </c>
      <c r="H61" s="1">
        <v>577400000</v>
      </c>
      <c r="I61" s="1">
        <v>558400000</v>
      </c>
      <c r="J61" s="1">
        <v>650300000</v>
      </c>
    </row>
    <row r="62" spans="1:10" ht="19" x14ac:dyDescent="0.25">
      <c r="A62" s="5" t="s">
        <v>50</v>
      </c>
      <c r="B62" s="1" t="s">
        <v>91</v>
      </c>
      <c r="C62" s="1" t="s">
        <v>91</v>
      </c>
      <c r="D62" s="1" t="s">
        <v>91</v>
      </c>
      <c r="E62" s="1" t="s">
        <v>91</v>
      </c>
      <c r="F62" s="1" t="s">
        <v>91</v>
      </c>
      <c r="G62" s="1" t="s">
        <v>91</v>
      </c>
      <c r="H62" s="1" t="s">
        <v>91</v>
      </c>
      <c r="I62" s="1" t="s">
        <v>91</v>
      </c>
      <c r="J62" s="1" t="s">
        <v>91</v>
      </c>
    </row>
    <row r="63" spans="1:10" ht="19" x14ac:dyDescent="0.25">
      <c r="A63" s="5" t="s">
        <v>54</v>
      </c>
      <c r="B63" s="1">
        <v>14951000</v>
      </c>
      <c r="C63" s="1">
        <v>12769000</v>
      </c>
      <c r="D63" s="1">
        <v>10888000</v>
      </c>
      <c r="E63" s="1">
        <v>13256000</v>
      </c>
      <c r="F63" s="1">
        <v>16700000</v>
      </c>
      <c r="G63" s="1" t="s">
        <v>91</v>
      </c>
      <c r="H63" s="1">
        <v>21600000</v>
      </c>
      <c r="I63" s="1">
        <v>15800000</v>
      </c>
      <c r="J63" s="1">
        <v>16400000</v>
      </c>
    </row>
    <row r="64" spans="1:10" ht="19" x14ac:dyDescent="0.25">
      <c r="A64" s="5" t="s">
        <v>55</v>
      </c>
      <c r="B64" s="1">
        <v>6211000</v>
      </c>
      <c r="C64" s="1">
        <v>9316000</v>
      </c>
      <c r="D64" s="1">
        <v>13455000</v>
      </c>
      <c r="E64" s="1">
        <v>20902000</v>
      </c>
      <c r="F64" s="1">
        <v>27800000</v>
      </c>
      <c r="G64" s="1">
        <v>41100000</v>
      </c>
      <c r="H64" s="1">
        <v>46000000</v>
      </c>
      <c r="I64" s="1">
        <v>57000000</v>
      </c>
      <c r="J64" s="1">
        <v>460800000</v>
      </c>
    </row>
    <row r="65" spans="1:10" ht="19" x14ac:dyDescent="0.25">
      <c r="A65" s="5" t="s">
        <v>56</v>
      </c>
      <c r="B65" s="1">
        <v>131295000</v>
      </c>
      <c r="C65" s="1">
        <v>160335000</v>
      </c>
      <c r="D65" s="1">
        <v>170432000</v>
      </c>
      <c r="E65" s="1">
        <v>171232000</v>
      </c>
      <c r="F65" s="1">
        <v>189700000</v>
      </c>
      <c r="G65" s="1">
        <v>391200000</v>
      </c>
      <c r="H65" s="1">
        <v>645000000</v>
      </c>
      <c r="I65" s="1">
        <v>631200000</v>
      </c>
      <c r="J65" s="1">
        <v>760100000</v>
      </c>
    </row>
    <row r="66" spans="1:10" ht="19" x14ac:dyDescent="0.25">
      <c r="A66" s="5" t="s">
        <v>57</v>
      </c>
      <c r="B66" s="1" t="s">
        <v>91</v>
      </c>
      <c r="C66" s="1" t="s">
        <v>91</v>
      </c>
      <c r="D66" s="1" t="s">
        <v>91</v>
      </c>
      <c r="E66" s="1" t="s">
        <v>91</v>
      </c>
      <c r="F66" s="1" t="s">
        <v>91</v>
      </c>
      <c r="G66" s="1" t="s">
        <v>91</v>
      </c>
      <c r="H66" s="1" t="s">
        <v>91</v>
      </c>
      <c r="I66" s="1" t="s">
        <v>91</v>
      </c>
      <c r="J66" s="1" t="s">
        <v>91</v>
      </c>
    </row>
    <row r="67" spans="1:10" ht="19" x14ac:dyDescent="0.25">
      <c r="A67" s="6" t="s">
        <v>58</v>
      </c>
      <c r="B67" s="10">
        <v>160392000</v>
      </c>
      <c r="C67" s="10">
        <v>210316000</v>
      </c>
      <c r="D67" s="10">
        <v>234701000</v>
      </c>
      <c r="E67" s="10">
        <v>304828000</v>
      </c>
      <c r="F67" s="10">
        <v>326300000</v>
      </c>
      <c r="G67" s="10">
        <v>592500000</v>
      </c>
      <c r="H67" s="10">
        <v>907100000</v>
      </c>
      <c r="I67" s="10">
        <v>912700000</v>
      </c>
      <c r="J67" s="10">
        <v>1112500000</v>
      </c>
    </row>
    <row r="68" spans="1:10" ht="19" x14ac:dyDescent="0.25">
      <c r="A68" s="5" t="s">
        <v>59</v>
      </c>
      <c r="B68" s="1">
        <v>3350000</v>
      </c>
      <c r="C68" s="1">
        <v>3350000</v>
      </c>
      <c r="D68" s="1">
        <v>103295000</v>
      </c>
      <c r="E68" s="1">
        <v>106095000</v>
      </c>
      <c r="F68" s="1">
        <v>112600000</v>
      </c>
      <c r="G68" s="1">
        <v>114700000</v>
      </c>
      <c r="H68" s="1">
        <v>120500000</v>
      </c>
      <c r="I68" s="1">
        <v>118500000</v>
      </c>
      <c r="J68" s="1">
        <v>118700000</v>
      </c>
    </row>
    <row r="69" spans="1:10" ht="19" x14ac:dyDescent="0.25">
      <c r="A69" s="5" t="s">
        <v>60</v>
      </c>
      <c r="B69" s="1">
        <v>-1052000</v>
      </c>
      <c r="C69" s="1">
        <v>25433000</v>
      </c>
      <c r="D69" s="1">
        <v>40101000</v>
      </c>
      <c r="E69" s="1">
        <v>136156000</v>
      </c>
      <c r="F69" s="1">
        <v>279700000</v>
      </c>
      <c r="G69" s="1">
        <v>389800000</v>
      </c>
      <c r="H69" s="1">
        <v>454400000</v>
      </c>
      <c r="I69" s="1">
        <v>290400000</v>
      </c>
      <c r="J69" s="1">
        <v>316500000</v>
      </c>
    </row>
    <row r="70" spans="1:10" ht="19" x14ac:dyDescent="0.25">
      <c r="A70" s="5" t="s">
        <v>61</v>
      </c>
      <c r="B70" s="1" t="s">
        <v>91</v>
      </c>
      <c r="C70" s="1">
        <v>-692000</v>
      </c>
      <c r="D70" s="1">
        <v>-1302000</v>
      </c>
      <c r="E70" s="1">
        <v>-3124000</v>
      </c>
      <c r="F70" s="1">
        <v>-2400000</v>
      </c>
      <c r="G70" s="1">
        <v>400000</v>
      </c>
      <c r="H70" s="1">
        <v>-143600000</v>
      </c>
      <c r="I70" s="1">
        <v>-17200000</v>
      </c>
      <c r="J70" s="1">
        <v>5800000</v>
      </c>
    </row>
    <row r="71" spans="1:10" ht="19" x14ac:dyDescent="0.25">
      <c r="A71" s="5" t="s">
        <v>62</v>
      </c>
      <c r="B71" s="1">
        <v>57240000</v>
      </c>
      <c r="C71" s="1">
        <v>57740000</v>
      </c>
      <c r="D71" s="1">
        <v>4074000</v>
      </c>
      <c r="E71" s="1">
        <v>4483000</v>
      </c>
      <c r="F71" s="1">
        <v>9200000</v>
      </c>
      <c r="G71" s="1">
        <v>15300000</v>
      </c>
      <c r="H71" s="1">
        <v>168800000</v>
      </c>
      <c r="I71" s="1">
        <v>36200000</v>
      </c>
      <c r="J71" s="1">
        <v>28500000</v>
      </c>
    </row>
    <row r="72" spans="1:10" ht="19" x14ac:dyDescent="0.25">
      <c r="A72" s="6" t="s">
        <v>63</v>
      </c>
      <c r="B72" s="10">
        <v>114433000</v>
      </c>
      <c r="C72" s="10">
        <v>142702000</v>
      </c>
      <c r="D72" s="10">
        <v>146168000</v>
      </c>
      <c r="E72" s="10">
        <v>243610000</v>
      </c>
      <c r="F72" s="10">
        <v>399100000</v>
      </c>
      <c r="G72" s="10">
        <v>520200000</v>
      </c>
      <c r="H72" s="10">
        <v>600100000</v>
      </c>
      <c r="I72" s="10">
        <v>427900000</v>
      </c>
      <c r="J72" s="10">
        <v>469500000</v>
      </c>
    </row>
    <row r="73" spans="1:10" ht="20" thickBot="1" x14ac:dyDescent="0.3">
      <c r="A73" s="7" t="s">
        <v>64</v>
      </c>
      <c r="B73" s="11">
        <v>274825000</v>
      </c>
      <c r="C73" s="11">
        <v>353018000</v>
      </c>
      <c r="D73" s="11">
        <v>380869000</v>
      </c>
      <c r="E73" s="11">
        <v>548438000</v>
      </c>
      <c r="F73" s="11">
        <v>725400000</v>
      </c>
      <c r="G73" s="11">
        <v>1112700000</v>
      </c>
      <c r="H73" s="11">
        <v>1507200000</v>
      </c>
      <c r="I73" s="11">
        <v>1340600000</v>
      </c>
      <c r="J73" s="11">
        <v>1590000000</v>
      </c>
    </row>
    <row r="74" spans="1:10" ht="20" thickTop="1" x14ac:dyDescent="0.25">
      <c r="A74" s="5" t="s">
        <v>28</v>
      </c>
      <c r="B74" s="13" t="s">
        <v>92</v>
      </c>
      <c r="C74" s="13" t="s">
        <v>92</v>
      </c>
      <c r="D74" s="13" t="s">
        <v>92</v>
      </c>
      <c r="E74" s="13" t="s">
        <v>92</v>
      </c>
      <c r="F74" s="13" t="s">
        <v>92</v>
      </c>
      <c r="G74" s="13" t="s">
        <v>92</v>
      </c>
      <c r="H74" s="13" t="s">
        <v>92</v>
      </c>
      <c r="I74" s="13" t="s">
        <v>92</v>
      </c>
      <c r="J74" s="13" t="s">
        <v>92</v>
      </c>
    </row>
    <row r="75" spans="1:10" ht="21" x14ac:dyDescent="0.25">
      <c r="A75" s="4" t="s">
        <v>65</v>
      </c>
      <c r="B75" s="9" t="s">
        <v>90</v>
      </c>
      <c r="C75" s="9" t="s">
        <v>90</v>
      </c>
      <c r="D75" s="9" t="s">
        <v>90</v>
      </c>
      <c r="E75" s="9" t="s">
        <v>90</v>
      </c>
      <c r="F75" s="9" t="s">
        <v>90</v>
      </c>
      <c r="G75" s="9" t="s">
        <v>90</v>
      </c>
      <c r="H75" s="9" t="s">
        <v>90</v>
      </c>
      <c r="I75" s="9" t="s">
        <v>90</v>
      </c>
      <c r="J75" s="9"/>
    </row>
    <row r="76" spans="1:10" ht="19" x14ac:dyDescent="0.25">
      <c r="A76" s="5" t="s">
        <v>66</v>
      </c>
      <c r="B76" s="1">
        <v>14425000</v>
      </c>
      <c r="C76" s="1">
        <v>26485000</v>
      </c>
      <c r="D76" s="1">
        <v>21640000</v>
      </c>
      <c r="E76" s="1">
        <v>96055000</v>
      </c>
      <c r="F76" s="1">
        <v>143600000</v>
      </c>
      <c r="G76" s="1">
        <v>151700000</v>
      </c>
      <c r="H76" s="1">
        <v>70200000</v>
      </c>
      <c r="I76" s="1">
        <v>94600000</v>
      </c>
      <c r="J76" s="1">
        <v>68900000</v>
      </c>
    </row>
    <row r="77" spans="1:10" ht="19" x14ac:dyDescent="0.25">
      <c r="A77" s="5" t="s">
        <v>13</v>
      </c>
      <c r="B77" s="1">
        <v>3394000</v>
      </c>
      <c r="C77" s="1">
        <v>5916000</v>
      </c>
      <c r="D77" s="1">
        <v>8521000</v>
      </c>
      <c r="E77" s="1">
        <v>14219000</v>
      </c>
      <c r="F77" s="1">
        <v>22700000</v>
      </c>
      <c r="G77" s="1">
        <v>63100000</v>
      </c>
      <c r="H77" s="1">
        <v>84600000</v>
      </c>
      <c r="I77" s="1">
        <v>95800000</v>
      </c>
      <c r="J77" s="1">
        <v>109100000</v>
      </c>
    </row>
    <row r="78" spans="1:10" ht="19" x14ac:dyDescent="0.25">
      <c r="A78" s="5" t="s">
        <v>67</v>
      </c>
      <c r="B78" s="1">
        <v>4707000</v>
      </c>
      <c r="C78" s="1">
        <v>6473000</v>
      </c>
      <c r="D78" s="1">
        <v>8900000</v>
      </c>
      <c r="E78" s="1">
        <v>29185000</v>
      </c>
      <c r="F78" s="1">
        <v>38900000</v>
      </c>
      <c r="G78" s="1" t="s">
        <v>91</v>
      </c>
      <c r="H78" s="1">
        <v>15800000</v>
      </c>
      <c r="I78" s="1">
        <v>23100000</v>
      </c>
      <c r="J78" s="1">
        <v>24600000</v>
      </c>
    </row>
    <row r="79" spans="1:10" ht="19" x14ac:dyDescent="0.25">
      <c r="A79" s="5" t="s">
        <v>68</v>
      </c>
      <c r="B79" s="1">
        <v>300000</v>
      </c>
      <c r="C79" s="1">
        <v>500000</v>
      </c>
      <c r="D79" s="1">
        <v>3274000</v>
      </c>
      <c r="E79" s="1">
        <v>1971000</v>
      </c>
      <c r="F79" s="1">
        <v>3800000</v>
      </c>
      <c r="G79" s="1" t="s">
        <v>91</v>
      </c>
      <c r="H79" s="1">
        <v>11300000</v>
      </c>
      <c r="I79" s="1">
        <v>14000000</v>
      </c>
      <c r="J79" s="1">
        <v>15000000</v>
      </c>
    </row>
    <row r="80" spans="1:10" ht="19" x14ac:dyDescent="0.25">
      <c r="A80" s="15" t="s">
        <v>104</v>
      </c>
      <c r="B80" s="16">
        <f t="shared" ref="B80:J80" si="9">B79/B3</f>
        <v>1.3735383262977647E-3</v>
      </c>
      <c r="C80" s="16">
        <f t="shared" si="9"/>
        <v>1.7192174122339511E-3</v>
      </c>
      <c r="D80" s="16">
        <f t="shared" si="9"/>
        <v>8.1084360921994079E-3</v>
      </c>
      <c r="E80" s="16">
        <f t="shared" si="9"/>
        <v>3.3340043066336705E-3</v>
      </c>
      <c r="F80" s="16">
        <f t="shared" si="9"/>
        <v>4.5755568934376881E-3</v>
      </c>
      <c r="G80" s="16" t="e">
        <f t="shared" si="9"/>
        <v>#VALUE!</v>
      </c>
      <c r="H80" s="16">
        <f t="shared" si="9"/>
        <v>1.2504149607170521E-2</v>
      </c>
      <c r="I80" s="16">
        <f t="shared" si="9"/>
        <v>1.2745812090313183E-2</v>
      </c>
      <c r="J80" s="16">
        <f t="shared" si="9"/>
        <v>1.2325390304026294E-2</v>
      </c>
    </row>
    <row r="81" spans="1:18" ht="19" x14ac:dyDescent="0.25">
      <c r="A81" s="5" t="s">
        <v>69</v>
      </c>
      <c r="B81" s="1">
        <v>-17493000</v>
      </c>
      <c r="C81" s="1">
        <v>-37848000</v>
      </c>
      <c r="D81" s="1">
        <v>19866000</v>
      </c>
      <c r="E81" s="1">
        <v>-2320000</v>
      </c>
      <c r="F81" s="1">
        <v>-100700000</v>
      </c>
      <c r="G81" s="1">
        <v>-130600000</v>
      </c>
      <c r="H81" s="1">
        <v>102500000</v>
      </c>
      <c r="I81" s="1">
        <v>-82800000</v>
      </c>
      <c r="J81" s="1">
        <v>-75400000</v>
      </c>
    </row>
    <row r="82" spans="1:18" ht="19" x14ac:dyDescent="0.25">
      <c r="A82" s="5" t="s">
        <v>70</v>
      </c>
      <c r="B82" s="1">
        <v>-9241000</v>
      </c>
      <c r="C82" s="1">
        <v>-3366000</v>
      </c>
      <c r="D82" s="1">
        <v>7677000</v>
      </c>
      <c r="E82" s="1">
        <v>-3065000</v>
      </c>
      <c r="F82" s="1">
        <v>3400000</v>
      </c>
      <c r="G82" s="1">
        <v>-11900000</v>
      </c>
      <c r="H82" s="1">
        <v>-10400000</v>
      </c>
      <c r="I82" s="1">
        <v>-8700000</v>
      </c>
      <c r="J82" s="1">
        <v>-4600000</v>
      </c>
    </row>
    <row r="83" spans="1:18" ht="21" x14ac:dyDescent="0.25">
      <c r="A83" s="5" t="s">
        <v>34</v>
      </c>
      <c r="B83" s="1">
        <v>-10622000</v>
      </c>
      <c r="C83" s="1">
        <v>-49778000</v>
      </c>
      <c r="D83" s="1">
        <v>-5958000</v>
      </c>
      <c r="E83" s="1">
        <v>-39512000</v>
      </c>
      <c r="F83" s="1">
        <v>-87300000</v>
      </c>
      <c r="G83" s="1">
        <v>-145000000</v>
      </c>
      <c r="H83" s="1">
        <v>67000000</v>
      </c>
      <c r="I83" s="1">
        <v>-60700000</v>
      </c>
      <c r="J83" s="1">
        <v>-49900000</v>
      </c>
      <c r="Q83" s="46" t="s">
        <v>135</v>
      </c>
      <c r="R83" s="47"/>
    </row>
    <row r="84" spans="1:18" ht="19" x14ac:dyDescent="0.25">
      <c r="A84" s="5" t="s">
        <v>47</v>
      </c>
      <c r="B84" s="1" t="s">
        <v>91</v>
      </c>
      <c r="C84" s="1" t="s">
        <v>91</v>
      </c>
      <c r="D84" s="1" t="s">
        <v>91</v>
      </c>
      <c r="E84" s="1" t="s">
        <v>91</v>
      </c>
      <c r="F84" s="1" t="s">
        <v>91</v>
      </c>
      <c r="G84" s="1" t="s">
        <v>91</v>
      </c>
      <c r="H84" s="1" t="s">
        <v>91</v>
      </c>
      <c r="I84" s="1" t="s">
        <v>91</v>
      </c>
      <c r="J84" s="1" t="s">
        <v>91</v>
      </c>
      <c r="Q84" s="48" t="s">
        <v>136</v>
      </c>
      <c r="R84" s="49"/>
    </row>
    <row r="85" spans="1:18" ht="20" x14ac:dyDescent="0.25">
      <c r="A85" s="5" t="s">
        <v>71</v>
      </c>
      <c r="B85" s="1">
        <v>1425000</v>
      </c>
      <c r="C85" s="1">
        <v>1367000</v>
      </c>
      <c r="D85" s="1">
        <v>5746000</v>
      </c>
      <c r="E85" s="1">
        <v>4317000</v>
      </c>
      <c r="F85" s="1">
        <v>8200000</v>
      </c>
      <c r="G85" s="1">
        <v>17000000</v>
      </c>
      <c r="H85" s="1">
        <v>13900000</v>
      </c>
      <c r="I85" s="1">
        <v>-1500000</v>
      </c>
      <c r="J85" s="1">
        <v>-20900000</v>
      </c>
      <c r="Q85" s="24" t="s">
        <v>137</v>
      </c>
      <c r="R85" s="25">
        <f>J17</f>
        <v>32100000</v>
      </c>
    </row>
    <row r="86" spans="1:18" ht="20" x14ac:dyDescent="0.25">
      <c r="A86" s="5" t="s">
        <v>72</v>
      </c>
      <c r="B86" s="1">
        <v>-373000</v>
      </c>
      <c r="C86" s="1">
        <v>-7968000</v>
      </c>
      <c r="D86" s="1">
        <v>-22871000</v>
      </c>
      <c r="E86" s="1">
        <v>-12879000</v>
      </c>
      <c r="F86" s="1">
        <v>-34900000</v>
      </c>
      <c r="G86" s="1">
        <v>-21700000</v>
      </c>
      <c r="H86" s="1">
        <v>9300000</v>
      </c>
      <c r="I86" s="1">
        <v>6900000</v>
      </c>
      <c r="J86" s="1">
        <v>-25900000</v>
      </c>
      <c r="Q86" s="24" t="s">
        <v>138</v>
      </c>
      <c r="R86" s="25">
        <f>J56</f>
        <v>103700000</v>
      </c>
    </row>
    <row r="87" spans="1:18" ht="20" x14ac:dyDescent="0.25">
      <c r="A87" s="6" t="s">
        <v>73</v>
      </c>
      <c r="B87" s="10">
        <v>4960000</v>
      </c>
      <c r="C87" s="10">
        <v>-6442000</v>
      </c>
      <c r="D87" s="10">
        <v>39330000</v>
      </c>
      <c r="E87" s="10">
        <v>126231000</v>
      </c>
      <c r="F87" s="10">
        <v>73400000</v>
      </c>
      <c r="G87" s="10">
        <v>62500000</v>
      </c>
      <c r="H87" s="10">
        <v>293700000</v>
      </c>
      <c r="I87" s="10">
        <v>151600000</v>
      </c>
      <c r="J87" s="10">
        <v>116300000</v>
      </c>
      <c r="Q87" s="24" t="s">
        <v>139</v>
      </c>
      <c r="R87" s="25">
        <f>J61</f>
        <v>650300000</v>
      </c>
    </row>
    <row r="88" spans="1:18" ht="20" x14ac:dyDescent="0.25">
      <c r="A88" s="5" t="s">
        <v>74</v>
      </c>
      <c r="B88" s="1">
        <v>-3831000</v>
      </c>
      <c r="C88" s="1">
        <v>-15070000</v>
      </c>
      <c r="D88" s="1">
        <v>-15798000</v>
      </c>
      <c r="E88" s="1">
        <v>-26126000</v>
      </c>
      <c r="F88" s="1">
        <v>-30300000</v>
      </c>
      <c r="G88" s="1">
        <v>-62300000</v>
      </c>
      <c r="H88" s="1">
        <v>-26900000</v>
      </c>
      <c r="I88" s="1">
        <v>-35700000</v>
      </c>
      <c r="J88" s="1">
        <v>-48100000</v>
      </c>
      <c r="Q88" s="50" t="s">
        <v>140</v>
      </c>
      <c r="R88" s="51">
        <f>R85/(R86+R87)</f>
        <v>4.2572944297082228E-2</v>
      </c>
    </row>
    <row r="89" spans="1:18" ht="20" customHeight="1" x14ac:dyDescent="0.25">
      <c r="A89" s="15" t="s">
        <v>105</v>
      </c>
      <c r="B89" s="16">
        <f t="shared" ref="B89:J89" si="10">(-1*B88)/B3</f>
        <v>1.7540084426822457E-2</v>
      </c>
      <c r="C89" s="16">
        <f t="shared" si="10"/>
        <v>5.1817212804731283E-2</v>
      </c>
      <c r="D89" s="16">
        <f t="shared" si="10"/>
        <v>3.912555692870074E-2</v>
      </c>
      <c r="E89" s="16">
        <f t="shared" si="10"/>
        <v>4.4192895238514093E-2</v>
      </c>
      <c r="F89" s="16">
        <f t="shared" si="10"/>
        <v>3.6484045755568933E-2</v>
      </c>
      <c r="G89" s="16">
        <f t="shared" si="10"/>
        <v>6.5024527711094876E-2</v>
      </c>
      <c r="H89" s="16">
        <f t="shared" si="10"/>
        <v>2.9766515436538674E-2</v>
      </c>
      <c r="I89" s="16">
        <f t="shared" si="10"/>
        <v>3.2501820830298615E-2</v>
      </c>
      <c r="J89" s="16">
        <f t="shared" si="10"/>
        <v>3.9523418241577651E-2</v>
      </c>
      <c r="Q89" s="24" t="s">
        <v>106</v>
      </c>
      <c r="R89" s="25">
        <f>J27</f>
        <v>24600000</v>
      </c>
    </row>
    <row r="90" spans="1:18" ht="20" x14ac:dyDescent="0.25">
      <c r="A90" s="5" t="s">
        <v>75</v>
      </c>
      <c r="B90" s="1">
        <v>-1260000</v>
      </c>
      <c r="C90" s="1" t="s">
        <v>91</v>
      </c>
      <c r="D90" s="1">
        <v>-710000</v>
      </c>
      <c r="E90" s="1">
        <v>-585000</v>
      </c>
      <c r="F90" s="1">
        <v>-33600000</v>
      </c>
      <c r="G90" s="1" t="s">
        <v>91</v>
      </c>
      <c r="H90" s="1" t="s">
        <v>91</v>
      </c>
      <c r="I90" s="1" t="s">
        <v>91</v>
      </c>
      <c r="J90" s="1">
        <v>2800000</v>
      </c>
      <c r="Q90" s="24" t="s">
        <v>19</v>
      </c>
      <c r="R90" s="25">
        <f>J25</f>
        <v>93500000</v>
      </c>
    </row>
    <row r="91" spans="1:18" ht="20" x14ac:dyDescent="0.25">
      <c r="A91" s="5" t="s">
        <v>76</v>
      </c>
      <c r="B91" s="1" t="s">
        <v>91</v>
      </c>
      <c r="C91" s="1" t="s">
        <v>91</v>
      </c>
      <c r="D91" s="1" t="s">
        <v>91</v>
      </c>
      <c r="E91" s="1" t="s">
        <v>91</v>
      </c>
      <c r="F91" s="1" t="s">
        <v>91</v>
      </c>
      <c r="G91" s="1" t="s">
        <v>91</v>
      </c>
      <c r="H91" s="1" t="s">
        <v>91</v>
      </c>
      <c r="I91" s="1" t="s">
        <v>91</v>
      </c>
      <c r="J91" s="1" t="s">
        <v>91</v>
      </c>
      <c r="Q91" s="50" t="s">
        <v>141</v>
      </c>
      <c r="R91" s="51">
        <f>R89/R90</f>
        <v>0.26310160427807489</v>
      </c>
    </row>
    <row r="92" spans="1:18" ht="20" x14ac:dyDescent="0.25">
      <c r="A92" s="5" t="s">
        <v>77</v>
      </c>
      <c r="B92" s="1" t="s">
        <v>91</v>
      </c>
      <c r="C92" s="1" t="s">
        <v>91</v>
      </c>
      <c r="D92" s="1" t="s">
        <v>91</v>
      </c>
      <c r="E92" s="1" t="s">
        <v>91</v>
      </c>
      <c r="F92" s="1" t="s">
        <v>91</v>
      </c>
      <c r="G92" s="1" t="s">
        <v>91</v>
      </c>
      <c r="H92" s="1" t="s">
        <v>91</v>
      </c>
      <c r="I92" s="1" t="s">
        <v>91</v>
      </c>
      <c r="J92" s="1" t="s">
        <v>91</v>
      </c>
      <c r="Q92" s="52" t="s">
        <v>142</v>
      </c>
      <c r="R92" s="53">
        <f>R88*(1-R91)</f>
        <v>3.1371934353678771E-2</v>
      </c>
    </row>
    <row r="93" spans="1:18" ht="19" x14ac:dyDescent="0.25">
      <c r="A93" s="5" t="s">
        <v>78</v>
      </c>
      <c r="B93" s="1">
        <v>-2172000</v>
      </c>
      <c r="C93" s="1">
        <v>-6772000</v>
      </c>
      <c r="D93" s="1">
        <v>-10471000</v>
      </c>
      <c r="E93" s="1">
        <v>-7673000</v>
      </c>
      <c r="F93" s="1">
        <v>-19000000</v>
      </c>
      <c r="G93" s="1" t="s">
        <v>91</v>
      </c>
      <c r="H93" s="1">
        <v>-5100000</v>
      </c>
      <c r="I93" s="1">
        <v>-1500000</v>
      </c>
      <c r="J93" s="1">
        <v>-2200000</v>
      </c>
      <c r="Q93" s="48" t="s">
        <v>143</v>
      </c>
      <c r="R93" s="49"/>
    </row>
    <row r="94" spans="1:18" ht="20" x14ac:dyDescent="0.25">
      <c r="A94" s="6" t="s">
        <v>79</v>
      </c>
      <c r="B94" s="10">
        <v>-7263000</v>
      </c>
      <c r="C94" s="10">
        <v>-21842000</v>
      </c>
      <c r="D94" s="10">
        <v>-26979000</v>
      </c>
      <c r="E94" s="10">
        <v>-34384000</v>
      </c>
      <c r="F94" s="10">
        <v>-82900000</v>
      </c>
      <c r="G94" s="10">
        <v>-62300000</v>
      </c>
      <c r="H94" s="10">
        <v>-32000000</v>
      </c>
      <c r="I94" s="10">
        <v>-37200000</v>
      </c>
      <c r="J94" s="10">
        <v>-45300000</v>
      </c>
      <c r="Q94" s="24" t="s">
        <v>144</v>
      </c>
      <c r="R94" s="54">
        <f>[1]Treasuries!$C$8</f>
        <v>3.7280000000000001E-2</v>
      </c>
    </row>
    <row r="95" spans="1:18" ht="20" x14ac:dyDescent="0.25">
      <c r="A95" s="5" t="s">
        <v>80</v>
      </c>
      <c r="B95" s="1">
        <v>-1250000</v>
      </c>
      <c r="C95" s="1">
        <v>-1250000</v>
      </c>
      <c r="D95" s="1">
        <v>-240583000</v>
      </c>
      <c r="E95" s="1">
        <v>-8861000</v>
      </c>
      <c r="F95" s="1" t="s">
        <v>91</v>
      </c>
      <c r="G95" s="1" t="s">
        <v>91</v>
      </c>
      <c r="H95" s="1">
        <v>-38800000</v>
      </c>
      <c r="I95" s="1">
        <v>-46900000</v>
      </c>
      <c r="J95" s="1">
        <v>-72400000</v>
      </c>
      <c r="Q95" s="24" t="s">
        <v>145</v>
      </c>
      <c r="R95" s="55" cm="1">
        <f t="array" ref="R95">_FV(A1,"Beta")</f>
        <v>1.5892999999999999</v>
      </c>
    </row>
    <row r="96" spans="1:18" ht="20" x14ac:dyDescent="0.25">
      <c r="A96" s="5" t="s">
        <v>81</v>
      </c>
      <c r="B96" s="1" t="s">
        <v>91</v>
      </c>
      <c r="C96" s="1" t="s">
        <v>91</v>
      </c>
      <c r="D96" s="1">
        <v>100000000</v>
      </c>
      <c r="E96" s="1" t="s">
        <v>91</v>
      </c>
      <c r="F96" s="1" t="s">
        <v>91</v>
      </c>
      <c r="G96" s="1" t="s">
        <v>91</v>
      </c>
      <c r="H96" s="1" t="s">
        <v>91</v>
      </c>
      <c r="I96" s="1" t="s">
        <v>91</v>
      </c>
      <c r="J96" s="1" t="s">
        <v>91</v>
      </c>
      <c r="Q96" s="24" t="s">
        <v>146</v>
      </c>
      <c r="R96" s="54">
        <v>8.4000000000000005E-2</v>
      </c>
    </row>
    <row r="97" spans="1:18" ht="20" x14ac:dyDescent="0.25">
      <c r="A97" s="5" t="s">
        <v>82</v>
      </c>
      <c r="B97" s="1" t="s">
        <v>91</v>
      </c>
      <c r="C97" s="1" t="s">
        <v>91</v>
      </c>
      <c r="D97" s="1">
        <v>-121481000</v>
      </c>
      <c r="E97" s="1" t="s">
        <v>91</v>
      </c>
      <c r="F97" s="1" t="s">
        <v>91</v>
      </c>
      <c r="G97" s="1">
        <v>-36300000</v>
      </c>
      <c r="H97" s="1" t="s">
        <v>91</v>
      </c>
      <c r="I97" s="1">
        <v>-253200000</v>
      </c>
      <c r="J97" s="1">
        <v>-26700000</v>
      </c>
      <c r="Q97" s="52" t="s">
        <v>147</v>
      </c>
      <c r="R97" s="53">
        <f>(R94)+((R95)*(R96-R94))</f>
        <v>0.111532096</v>
      </c>
    </row>
    <row r="98" spans="1:18" ht="19" x14ac:dyDescent="0.25">
      <c r="A98" s="5" t="s">
        <v>83</v>
      </c>
      <c r="B98" s="1" t="s">
        <v>91</v>
      </c>
      <c r="C98" s="1" t="s">
        <v>91</v>
      </c>
      <c r="D98" s="1" t="s">
        <v>91</v>
      </c>
      <c r="E98" s="1" t="s">
        <v>91</v>
      </c>
      <c r="F98" s="1" t="s">
        <v>91</v>
      </c>
      <c r="G98" s="1" t="s">
        <v>91</v>
      </c>
      <c r="H98" s="1" t="s">
        <v>91</v>
      </c>
      <c r="I98" s="1" t="s">
        <v>91</v>
      </c>
      <c r="J98" s="1">
        <v>0</v>
      </c>
      <c r="Q98" s="48" t="s">
        <v>148</v>
      </c>
      <c r="R98" s="49"/>
    </row>
    <row r="99" spans="1:18" ht="20" x14ac:dyDescent="0.25">
      <c r="A99" s="5" t="s">
        <v>84</v>
      </c>
      <c r="B99" s="1">
        <v>6201000</v>
      </c>
      <c r="C99" s="1">
        <v>30842000</v>
      </c>
      <c r="D99" s="1">
        <v>252165000</v>
      </c>
      <c r="E99" s="1">
        <v>927000</v>
      </c>
      <c r="F99" s="1">
        <v>3100000</v>
      </c>
      <c r="G99" s="1">
        <v>-22400000</v>
      </c>
      <c r="H99" s="1">
        <v>235800000</v>
      </c>
      <c r="I99" s="1">
        <v>1900000</v>
      </c>
      <c r="J99" s="1">
        <v>18400000</v>
      </c>
      <c r="Q99" s="24" t="s">
        <v>149</v>
      </c>
      <c r="R99" s="25">
        <f>R86+R87</f>
        <v>754000000</v>
      </c>
    </row>
    <row r="100" spans="1:18" ht="20" x14ac:dyDescent="0.25">
      <c r="A100" s="6" t="s">
        <v>85</v>
      </c>
      <c r="B100" s="10">
        <v>4951000</v>
      </c>
      <c r="C100" s="10">
        <v>29592000</v>
      </c>
      <c r="D100" s="10">
        <v>-9899000</v>
      </c>
      <c r="E100" s="10">
        <v>-7934000</v>
      </c>
      <c r="F100" s="10">
        <v>3100000</v>
      </c>
      <c r="G100" s="10">
        <v>-58700000</v>
      </c>
      <c r="H100" s="10">
        <v>197000000</v>
      </c>
      <c r="I100" s="10">
        <v>-298200000</v>
      </c>
      <c r="J100" s="10">
        <v>-80700000</v>
      </c>
      <c r="Q100" s="50" t="s">
        <v>150</v>
      </c>
      <c r="R100" s="51">
        <f>R99/R103</f>
        <v>0.25427238305156535</v>
      </c>
    </row>
    <row r="101" spans="1:18" ht="20" x14ac:dyDescent="0.25">
      <c r="A101" s="5" t="s">
        <v>86</v>
      </c>
      <c r="B101" s="1" t="s">
        <v>91</v>
      </c>
      <c r="C101" s="1" t="s">
        <v>91</v>
      </c>
      <c r="D101" s="1" t="s">
        <v>91</v>
      </c>
      <c r="E101" s="1">
        <v>1699000</v>
      </c>
      <c r="F101" s="1">
        <v>-300000</v>
      </c>
      <c r="G101" s="1">
        <v>1600000</v>
      </c>
      <c r="H101" s="1">
        <v>-12500000</v>
      </c>
      <c r="I101" s="1">
        <v>-6400000</v>
      </c>
      <c r="J101" s="1">
        <v>8500000</v>
      </c>
      <c r="Q101" s="24" t="s">
        <v>151</v>
      </c>
      <c r="R101" s="56" cm="1">
        <f t="array" ref="R101">_FV(A1,"Market cap",TRUE)</f>
        <v>2211324000</v>
      </c>
    </row>
    <row r="102" spans="1:18" ht="20" x14ac:dyDescent="0.25">
      <c r="A102" s="6" t="s">
        <v>87</v>
      </c>
      <c r="B102" s="10">
        <v>2648000</v>
      </c>
      <c r="C102" s="10">
        <v>1308000</v>
      </c>
      <c r="D102" s="10">
        <v>2452000</v>
      </c>
      <c r="E102" s="10">
        <v>85612000</v>
      </c>
      <c r="F102" s="10">
        <v>-6700000</v>
      </c>
      <c r="G102" s="10">
        <v>-56900000</v>
      </c>
      <c r="H102" s="10">
        <v>446200000</v>
      </c>
      <c r="I102" s="10">
        <v>-190200000</v>
      </c>
      <c r="J102" s="10">
        <v>-1200000</v>
      </c>
      <c r="Q102" s="50" t="s">
        <v>152</v>
      </c>
      <c r="R102" s="51">
        <f>R101/R103</f>
        <v>0.74572761694843459</v>
      </c>
    </row>
    <row r="103" spans="1:18" ht="20" x14ac:dyDescent="0.25">
      <c r="A103" s="5" t="s">
        <v>88</v>
      </c>
      <c r="B103" s="1">
        <v>3270000</v>
      </c>
      <c r="C103" s="1">
        <v>5918000</v>
      </c>
      <c r="D103" s="1">
        <v>7226000</v>
      </c>
      <c r="E103" s="1">
        <v>9678000</v>
      </c>
      <c r="F103" s="1">
        <v>95300000</v>
      </c>
      <c r="G103" s="1">
        <v>88600000</v>
      </c>
      <c r="H103" s="1">
        <v>31700000</v>
      </c>
      <c r="I103" s="1">
        <v>477900000</v>
      </c>
      <c r="J103" s="1">
        <v>287700000</v>
      </c>
      <c r="Q103" s="52" t="s">
        <v>153</v>
      </c>
      <c r="R103" s="57">
        <f>R99+R101</f>
        <v>2965324000</v>
      </c>
    </row>
    <row r="104" spans="1:18" ht="20" thickBot="1" x14ac:dyDescent="0.3">
      <c r="A104" s="7" t="s">
        <v>89</v>
      </c>
      <c r="B104" s="11">
        <v>5918000</v>
      </c>
      <c r="C104" s="11">
        <v>7226000</v>
      </c>
      <c r="D104" s="11">
        <v>9678000</v>
      </c>
      <c r="E104" s="11">
        <v>95290000</v>
      </c>
      <c r="F104" s="11">
        <v>88600000</v>
      </c>
      <c r="G104" s="11">
        <v>31700000</v>
      </c>
      <c r="H104" s="11">
        <v>477900000</v>
      </c>
      <c r="I104" s="11">
        <v>287700000</v>
      </c>
      <c r="J104" s="11">
        <v>286500000</v>
      </c>
      <c r="Q104" s="48" t="s">
        <v>154</v>
      </c>
      <c r="R104" s="49"/>
    </row>
    <row r="105" spans="1:18" ht="21" thickTop="1" x14ac:dyDescent="0.25">
      <c r="A105" s="15" t="s">
        <v>110</v>
      </c>
      <c r="C105" s="1">
        <f>(C22*(1-$R$91))+C77+C88+C81</f>
        <v>-16823063.101604283</v>
      </c>
      <c r="D105" s="1">
        <f>(D22*(1-$R$91))+D77+D88+D81</f>
        <v>42434858.823529407</v>
      </c>
      <c r="E105" s="1">
        <f>(E22*(1-$R$91))+E77+E88+E81</f>
        <v>87559301.604278058</v>
      </c>
      <c r="F105" s="1">
        <f>(F22*(1-$R$91))+F77+F88+F81</f>
        <v>36647914.438502669</v>
      </c>
      <c r="G105" s="1">
        <f>(G22*(1-$R$91))+G77+G88+G81</f>
        <v>11758181.818181813</v>
      </c>
      <c r="H105" s="1">
        <f>(H22*(1-$R$91))+H77+H88+H81</f>
        <v>246343422.45989305</v>
      </c>
      <c r="I105" s="1">
        <f>(I22*(1-$R$91))+I77+I88+I81</f>
        <v>92771978.609625638</v>
      </c>
      <c r="J105" s="1">
        <f>(J22*(1-$R$91))+J77+J88+J81</f>
        <v>5054117.6470588148</v>
      </c>
      <c r="K105" s="30">
        <f>J105*(1+$R$106)</f>
        <v>6191325.130393276</v>
      </c>
      <c r="L105" s="30">
        <f t="shared" ref="L105:O105" si="11">K105*(1+$R$106)</f>
        <v>7584411.2755361907</v>
      </c>
      <c r="M105" s="30">
        <f t="shared" si="11"/>
        <v>9290950.3515003733</v>
      </c>
      <c r="N105" s="30">
        <f t="shared" si="11"/>
        <v>11381471.191109989</v>
      </c>
      <c r="O105" s="30">
        <f t="shared" si="11"/>
        <v>13942372.047349049</v>
      </c>
      <c r="P105" s="27" t="s">
        <v>111</v>
      </c>
      <c r="Q105" s="31" t="s">
        <v>112</v>
      </c>
      <c r="R105" s="32">
        <f>(R100*R92)+(R102*R97)</f>
        <v>9.1149580672391206E-2</v>
      </c>
    </row>
    <row r="106" spans="1:18" ht="19" customHeight="1" x14ac:dyDescent="0.25">
      <c r="A106" s="15" t="s">
        <v>107</v>
      </c>
      <c r="B106" s="1"/>
      <c r="C106" s="16">
        <f t="shared" ref="C106:J106" si="12">(C107/B107)-1</f>
        <v>26.117929050814958</v>
      </c>
      <c r="D106" s="16">
        <f t="shared" si="12"/>
        <v>-1.4617805119502192</v>
      </c>
      <c r="E106" s="16">
        <f t="shared" si="12"/>
        <v>6.0769466350202892</v>
      </c>
      <c r="F106" s="16">
        <f t="shared" si="12"/>
        <v>-0.73926778604812182</v>
      </c>
      <c r="G106" s="16">
        <f t="shared" si="12"/>
        <v>-0.99170124481327804</v>
      </c>
      <c r="H106" s="16">
        <f t="shared" si="12"/>
        <v>1307.5</v>
      </c>
      <c r="I106" s="16">
        <f t="shared" si="12"/>
        <v>-0.56285823461979367</v>
      </c>
      <c r="J106" s="16">
        <f t="shared" si="12"/>
        <v>-0.40384615384615385</v>
      </c>
      <c r="K106" s="26">
        <v>152100000</v>
      </c>
      <c r="L106" s="26">
        <v>231300000</v>
      </c>
      <c r="M106" s="26">
        <v>271900000</v>
      </c>
      <c r="N106" s="26">
        <v>738800000</v>
      </c>
      <c r="O106" s="26">
        <v>800000000</v>
      </c>
      <c r="P106" s="27" t="s">
        <v>108</v>
      </c>
      <c r="Q106" s="28" t="s">
        <v>109</v>
      </c>
      <c r="R106" s="29">
        <f>(SUM(K4:O4)/5)</f>
        <v>0.22500613613461201</v>
      </c>
    </row>
    <row r="107" spans="1:18" ht="19" x14ac:dyDescent="0.25">
      <c r="A107" s="14" t="s">
        <v>93</v>
      </c>
      <c r="B107" s="1">
        <v>-1043000</v>
      </c>
      <c r="C107" s="1">
        <v>-28284000</v>
      </c>
      <c r="D107" s="1">
        <v>13061000</v>
      </c>
      <c r="E107" s="1">
        <v>92432000</v>
      </c>
      <c r="F107" s="1">
        <v>24100000</v>
      </c>
      <c r="G107" s="1">
        <v>200000</v>
      </c>
      <c r="H107" s="1">
        <v>261700000</v>
      </c>
      <c r="I107" s="1">
        <v>114400000</v>
      </c>
      <c r="J107" s="1">
        <v>68200000</v>
      </c>
      <c r="K107" s="27"/>
      <c r="L107" s="27"/>
      <c r="M107" s="27"/>
      <c r="N107" s="27"/>
      <c r="O107" s="58">
        <f>O106*(1+R107)/(R108-R107)</f>
        <v>12396148118.626585</v>
      </c>
      <c r="P107" s="59" t="s">
        <v>155</v>
      </c>
      <c r="Q107" s="60" t="s">
        <v>156</v>
      </c>
      <c r="R107" s="61">
        <v>2.5000000000000001E-2</v>
      </c>
    </row>
    <row r="108" spans="1:18" ht="19" x14ac:dyDescent="0.25">
      <c r="A108" s="5"/>
      <c r="B108" s="13"/>
      <c r="C108" s="13"/>
      <c r="D108" s="13"/>
      <c r="E108" s="13"/>
      <c r="F108" s="13"/>
      <c r="G108" s="13"/>
      <c r="H108" s="13"/>
      <c r="I108" s="13"/>
      <c r="J108" s="13"/>
      <c r="K108" s="58">
        <f t="shared" ref="K108:N108" si="13">K107+K106</f>
        <v>152100000</v>
      </c>
      <c r="L108" s="58">
        <f t="shared" si="13"/>
        <v>231300000</v>
      </c>
      <c r="M108" s="58">
        <f t="shared" si="13"/>
        <v>271900000</v>
      </c>
      <c r="N108" s="58">
        <f t="shared" si="13"/>
        <v>738800000</v>
      </c>
      <c r="O108" s="58">
        <f>O107+O106</f>
        <v>13196148118.626585</v>
      </c>
      <c r="P108" s="59" t="s">
        <v>153</v>
      </c>
      <c r="Q108" s="62" t="s">
        <v>157</v>
      </c>
      <c r="R108" s="63">
        <f>R105</f>
        <v>9.1149580672391206E-2</v>
      </c>
    </row>
    <row r="109" spans="1:18" ht="19" x14ac:dyDescent="0.25">
      <c r="K109" s="64" t="s">
        <v>158</v>
      </c>
      <c r="L109" s="65"/>
    </row>
    <row r="110" spans="1:18" ht="20" x14ac:dyDescent="0.25">
      <c r="K110" s="66" t="s">
        <v>159</v>
      </c>
      <c r="L110" s="56">
        <f>NPV(R108,K108,L108,M108,N108,O108)</f>
        <v>9595647627.1856422</v>
      </c>
    </row>
    <row r="111" spans="1:18" ht="20" x14ac:dyDescent="0.25">
      <c r="K111" s="66" t="s">
        <v>160</v>
      </c>
      <c r="L111" s="56">
        <f>J40</f>
        <v>286500000</v>
      </c>
    </row>
    <row r="112" spans="1:18" ht="20" x14ac:dyDescent="0.25">
      <c r="K112" s="66" t="s">
        <v>149</v>
      </c>
      <c r="L112" s="56">
        <f>R99</f>
        <v>754000000</v>
      </c>
    </row>
    <row r="113" spans="11:12" ht="20" x14ac:dyDescent="0.25">
      <c r="K113" s="66" t="s">
        <v>161</v>
      </c>
      <c r="L113" s="56">
        <f>L110+L111-L112</f>
        <v>9128147627.1856422</v>
      </c>
    </row>
    <row r="114" spans="11:12" ht="20" x14ac:dyDescent="0.25">
      <c r="K114" s="66" t="s">
        <v>162</v>
      </c>
      <c r="L114" s="67">
        <f>J34*(1+(5*P16))</f>
        <v>100018654.48965675</v>
      </c>
    </row>
    <row r="115" spans="11:12" ht="20" x14ac:dyDescent="0.25">
      <c r="K115" s="68" t="s">
        <v>163</v>
      </c>
      <c r="L115" s="69">
        <f>L113/L114</f>
        <v>91.264451354218266</v>
      </c>
    </row>
    <row r="116" spans="11:12" ht="20" x14ac:dyDescent="0.25">
      <c r="K116" s="66" t="s">
        <v>164</v>
      </c>
      <c r="L116" s="70" cm="1">
        <f t="array" ref="L116">_FV(A1,"Price")</f>
        <v>21.4</v>
      </c>
    </row>
    <row r="117" spans="11:12" ht="20" x14ac:dyDescent="0.25">
      <c r="K117" s="71" t="s">
        <v>165</v>
      </c>
      <c r="L117" s="72">
        <f>L115/L116-1</f>
        <v>3.2646939885148729</v>
      </c>
    </row>
    <row r="118" spans="11:12" ht="20" x14ac:dyDescent="0.25">
      <c r="K118" s="71" t="s">
        <v>166</v>
      </c>
      <c r="L118" s="73" t="str">
        <f>IF(L115&gt;L116,"BUY","SELL")</f>
        <v>BUY</v>
      </c>
    </row>
  </sheetData>
  <mergeCells count="6">
    <mergeCell ref="Q83:R83"/>
    <mergeCell ref="Q84:R84"/>
    <mergeCell ref="Q93:R93"/>
    <mergeCell ref="Q98:R98"/>
    <mergeCell ref="Q104:R104"/>
    <mergeCell ref="K109:L109"/>
  </mergeCells>
  <hyperlinks>
    <hyperlink ref="A1" r:id="rId1" tooltip="https://roic.ai/company/GOOS" display="ROIC.AI | GOO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K1" r:id="rId18" display="https://finbox.com/TSX:GOOS/explorer/revenue_proj" xr:uid="{E016B16E-C123-B648-BD6B-A3D374C778EE}"/>
    <hyperlink ref="P106" r:id="rId19" xr:uid="{D1E4055D-ED6B-6642-A2EF-382A27823585}"/>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2023-05-04T07:31:52Z</dcterms:created>
  <dcterms:modified xsi:type="dcterms:W3CDTF">2023-06-23T11:21:21Z</dcterms:modified>
</cp:coreProperties>
</file>