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186A8D1-05EB-A54A-8863-76EACE01FEFF}" xr6:coauthVersionLast="47" xr6:coauthVersionMax="47" xr10:uidLastSave="{00000000-0000-0000-0000-000000000000}"/>
  <bookViews>
    <workbookView xWindow="26360" yWindow="500" windowWidth="1458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5" i="1" l="1"/>
  <c r="G108" i="1"/>
  <c r="H108" i="1"/>
  <c r="I108" i="1"/>
  <c r="J108" i="1"/>
  <c r="B105" i="1"/>
  <c r="C105" i="1"/>
  <c r="D105" i="1"/>
  <c r="E105" i="1"/>
  <c r="G105" i="1"/>
  <c r="H105" i="1" s="1"/>
  <c r="I105" i="1" s="1"/>
  <c r="J105" i="1" s="1"/>
  <c r="K105" i="1" s="1"/>
  <c r="N94" i="1"/>
  <c r="H116" i="1" a="1"/>
  <c r="H116" i="1" s="1"/>
  <c r="N101" i="1" a="1"/>
  <c r="N101" i="1" s="1"/>
  <c r="N95" i="1" a="1"/>
  <c r="N95" i="1" s="1"/>
  <c r="H111" i="1"/>
  <c r="N90" i="1"/>
  <c r="N89" i="1"/>
  <c r="N91" i="1" s="1"/>
  <c r="N87" i="1"/>
  <c r="N86" i="1"/>
  <c r="N99" i="1" s="1"/>
  <c r="N85" i="1"/>
  <c r="K30" i="1"/>
  <c r="J30" i="1"/>
  <c r="I30" i="1"/>
  <c r="H30" i="1"/>
  <c r="G30" i="1"/>
  <c r="K29" i="1"/>
  <c r="J29" i="1"/>
  <c r="I29" i="1"/>
  <c r="H29" i="1"/>
  <c r="G29" i="1"/>
  <c r="K21" i="1"/>
  <c r="J21" i="1"/>
  <c r="I21" i="1"/>
  <c r="H21" i="1"/>
  <c r="G21" i="1"/>
  <c r="K20" i="1"/>
  <c r="J20" i="1"/>
  <c r="I20" i="1"/>
  <c r="H20" i="1"/>
  <c r="G20" i="1"/>
  <c r="L19" i="1"/>
  <c r="L16" i="1"/>
  <c r="H114" i="1" s="1"/>
  <c r="O13" i="1"/>
  <c r="N13" i="1"/>
  <c r="M13" i="1"/>
  <c r="L13" i="1"/>
  <c r="O10" i="1"/>
  <c r="N10" i="1"/>
  <c r="M10" i="1"/>
  <c r="L10" i="1"/>
  <c r="O7" i="1"/>
  <c r="N7" i="1"/>
  <c r="M7" i="1"/>
  <c r="L7" i="1"/>
  <c r="O4" i="1"/>
  <c r="N4" i="1"/>
  <c r="M4" i="1"/>
  <c r="L4" i="1"/>
  <c r="K4" i="1"/>
  <c r="J4" i="1"/>
  <c r="I4" i="1"/>
  <c r="H4" i="1"/>
  <c r="G4" i="1"/>
  <c r="N106" i="1" s="1"/>
  <c r="F106" i="1"/>
  <c r="E106" i="1"/>
  <c r="D106" i="1"/>
  <c r="C106" i="1"/>
  <c r="B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97" i="1" l="1"/>
  <c r="N88" i="1"/>
  <c r="O16" i="1"/>
  <c r="N16" i="1"/>
  <c r="M16" i="1"/>
  <c r="M19" i="1"/>
  <c r="N19" i="1"/>
  <c r="O19" i="1"/>
  <c r="N92" i="1"/>
  <c r="N103" i="1"/>
  <c r="N102" i="1" s="1"/>
  <c r="H112" i="1"/>
  <c r="N100" i="1" l="1"/>
  <c r="N105" i="1" s="1"/>
  <c r="N108" i="1" s="1"/>
  <c r="K107" i="1" l="1"/>
  <c r="K108" i="1" s="1"/>
  <c r="H110" i="1" s="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<sst xmlns="http://schemas.openxmlformats.org/spreadsheetml/2006/main" count="272" uniqueCount="165">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</sst>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JAMF</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547802811777241E-2"/>
          <c:y val="0.1235981009965484"/>
          <c:w val="0.85480533250175417"/>
          <c:h val="0.70622996247124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146562000</c:v>
                </c:pt>
                <c:pt idx="1">
                  <c:v>204027000</c:v>
                </c:pt>
                <c:pt idx="2">
                  <c:v>269451000</c:v>
                </c:pt>
                <c:pt idx="3">
                  <c:v>366388000</c:v>
                </c:pt>
                <c:pt idx="4">
                  <c:v>478776000</c:v>
                </c:pt>
              </c:numCache>
            </c:numRef>
          </c:val>
          <c:extLst>
            <c:ext xmlns:c16="http://schemas.microsoft.com/office/drawing/2014/chart" uri="{C3380CC4-5D6E-409C-BE32-E72D297353CC}">
              <c16:uniqueId val="{00000000-1F02-514B-A402-262FC446B45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3724000</c:v>
                </c:pt>
                <c:pt idx="1">
                  <c:v>15519000</c:v>
                </c:pt>
                <c:pt idx="2">
                  <c:v>17826000</c:v>
                </c:pt>
                <c:pt idx="3">
                  <c:v>-30431000</c:v>
                </c:pt>
                <c:pt idx="4">
                  <c:v>-85020000</c:v>
                </c:pt>
              </c:numCache>
            </c:numRef>
          </c:val>
          <c:extLst>
            <c:ext xmlns:c16="http://schemas.microsoft.com/office/drawing/2014/chart" uri="{C3380CC4-5D6E-409C-BE32-E72D297353CC}">
              <c16:uniqueId val="{00000001-1F02-514B-A402-262FC446B45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6451000</c:v>
                </c:pt>
                <c:pt idx="1">
                  <c:v>3993000</c:v>
                </c:pt>
                <c:pt idx="2">
                  <c:v>48375000</c:v>
                </c:pt>
                <c:pt idx="3">
                  <c:v>55410000</c:v>
                </c:pt>
                <c:pt idx="4">
                  <c:v>90005000</c:v>
                </c:pt>
              </c:numCache>
            </c:numRef>
          </c:val>
          <c:extLst>
            <c:ext xmlns:c16="http://schemas.microsoft.com/office/drawing/2014/chart" uri="{C3380CC4-5D6E-409C-BE32-E72D297353CC}">
              <c16:uniqueId val="{00000002-1F02-514B-A402-262FC446B45E}"/>
            </c:ext>
          </c:extLst>
        </c:ser>
        <c:dLbls>
          <c:showLegendKey val="0"/>
          <c:showVal val="0"/>
          <c:showCatName val="0"/>
          <c:showSerName val="0"/>
          <c:showPercent val="0"/>
          <c:showBubbleSize val="0"/>
        </c:dLbls>
        <c:gapWidth val="100"/>
        <c:overlap val="-24"/>
        <c:axId val="1418680511"/>
        <c:axId val="1418682239"/>
      </c:barChart>
      <c:catAx>
        <c:axId val="141868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8682239"/>
        <c:crosses val="autoZero"/>
        <c:auto val="1"/>
        <c:lblAlgn val="ctr"/>
        <c:lblOffset val="100"/>
        <c:noMultiLvlLbl val="0"/>
      </c:catAx>
      <c:valAx>
        <c:axId val="14186822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8680511"/>
        <c:crosses val="autoZero"/>
        <c:crossBetween val="between"/>
      </c:valAx>
      <c:spPr>
        <a:noFill/>
        <a:ln>
          <a:noFill/>
        </a:ln>
        <a:effectLst/>
      </c:spPr>
    </c:plotArea>
    <c:legend>
      <c:legendPos val="b"/>
      <c:layout>
        <c:manualLayout>
          <c:xMode val="edge"/>
          <c:yMode val="edge"/>
          <c:x val="0.37068225877705885"/>
          <c:y val="0.9084868207130915"/>
          <c:w val="0.27975749070970091"/>
          <c:h val="5.13961687070338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xdr:colOff>
      <xdr:row>108</xdr:row>
      <xdr:rowOff>46566</xdr:rowOff>
    </xdr:from>
    <xdr:to>
      <xdr:col>14</xdr:col>
      <xdr:colOff>15875</xdr:colOff>
      <xdr:row>130</xdr:row>
      <xdr:rowOff>52916</xdr:rowOff>
    </xdr:to>
    <xdr:graphicFrame macro="">
      <xdr:nvGraphicFramePr>
        <xdr:cNvPr id="2" name="Chart 1">
          <a:extLst>
            <a:ext uri="{FF2B5EF4-FFF2-40B4-BE49-F238E27FC236}">
              <a16:creationId xmlns:a16="http://schemas.microsoft.com/office/drawing/2014/main" id="{EBF7CF07-1981-D46B-F446-1EEA88C66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https://www.bing.com/financeapi/forcetrigger?t=bv8cjc&amp;q=XNAS%3aJAMF&amp;form=skydnc</v>
    <v>Learn more on Bing</v>
  </rv>
  <rv s="1">
    <v>0</v>
    <v>Jamf Holding Corp. (XNAS:JAMF)</v>
    <v>2</v>
    <v>3</v>
    <v>Finance</v>
    <v>4</v>
    <v>en-US</v>
    <v>bv8cjc</v>
    <v>268435456</v>
    <v>1</v>
    <v>Powered by Refinitiv</v>
    <v>28.38</v>
    <v>16.53</v>
    <v>1.2749999999999999</v>
    <v>-0.02</v>
    <v>-1.06E-3</v>
    <v>USD</v>
    <v>Jamf Holding Corp. is engaged in selling software as a service (SaaS) solution through a subscription model, direct sales force, online and indirectly through its channel partners, including Apple. The Company helps organizations, including businesses, hospitals, schools, and government agencies, connect, manage and protect Apple products, applications and corporate resources in the cloud without ever having to touch the devices. It also helps information technology (IT) and security teams strengthen their organization’s mobile security posture. It is engaged in Apple Enterprise Management, and its cloud software platform is the vertically focused Apple infrastructure and security platform. Its multi-dimensional go-to-market model and cloud-deployed offering enables the Company to reach all organizations around the world with its software solutions. Its SaaS solution provides a cloud-based platform for lifecycle enterprise security and information technology (IT) management of devices.</v>
    <v>2796</v>
    <v>Nasdaq Stock Market</v>
    <v>XNAS</v>
    <v>XNAS</v>
    <v>100 Washington Ave S, Suite 1100, MINNEAPOLIS, MN, 55401 US</v>
    <v>18.989999999999998</v>
    <v>Software &amp; IT Services</v>
    <v>Stock</v>
    <v>45099.840054293752</v>
    <v>0</v>
    <v>18.46</v>
    <v>2335915080</v>
    <v>Jamf Holding Corp.</v>
    <v>Jamf Holding Corp.</v>
    <v>18.760000000000002</v>
    <v>18.86</v>
    <v>18.84</v>
    <v>123987000</v>
    <v>JAMF</v>
    <v>Jamf Holding Corp. (XNAS:JAMF)</v>
    <v>432819</v>
    <v>455798</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21947/000162828022004530/0001628280-22-004530-index.htm" TargetMode="External"/><Relationship Id="rId13" Type="http://schemas.openxmlformats.org/officeDocument/2006/relationships/hyperlink" Target="https://finbox.com/NASDAQGS:JAMF/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1947/000155837021002391/0001558370-21-002391-index.htm" TargetMode="External"/><Relationship Id="rId12" Type="http://schemas.openxmlformats.org/officeDocument/2006/relationships/hyperlink" Target="https://finbox.com/NASDAQGS:JAMF/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JAMF" TargetMode="External"/><Relationship Id="rId6" Type="http://schemas.openxmlformats.org/officeDocument/2006/relationships/hyperlink" Target="https://www.sec.gov/Archives/edgar/data/1721947/000155837021002391/0001558370-21-002391-index.htm" TargetMode="External"/><Relationship Id="rId11" Type="http://schemas.openxmlformats.org/officeDocument/2006/relationships/hyperlink" Target="https://www.sec.gov/Archives/edgar/data/1721947/000162828023005848/0001628280-23-005848-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21947/000162828023005848/0001628280-23-00584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21947/000162828022004530/0001628280-22-004530-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
  <sheetViews>
    <sheetView tabSelected="1" zoomScale="60" zoomScaleNormal="60" workbookViewId="0">
      <pane xSplit="1" ySplit="1" topLeftCell="B88" activePane="bottomRight" state="frozen"/>
      <selection pane="topRight"/>
      <selection pane="bottomLeft"/>
      <selection pane="bottomRight" activeCell="H98" sqref="H98"/>
    </sheetView>
  </sheetViews>
  <sheetFormatPr baseColWidth="10" defaultRowHeight="16" x14ac:dyDescent="0.2"/>
  <cols>
    <col min="1" max="1" width="50" customWidth="1"/>
    <col min="2" max="6" width="15" customWidth="1"/>
    <col min="7" max="15" width="21.1640625" customWidth="1"/>
  </cols>
  <sheetData>
    <row r="1" spans="1:15" ht="22" thickBot="1" x14ac:dyDescent="0.3">
      <c r="A1" s="3" t="e" vm="1">
        <v>#VALUE!</v>
      </c>
      <c r="B1" s="8">
        <v>2018</v>
      </c>
      <c r="C1" s="8">
        <v>2019</v>
      </c>
      <c r="D1" s="8">
        <v>2020</v>
      </c>
      <c r="E1" s="8">
        <v>2021</v>
      </c>
      <c r="F1" s="8">
        <v>2022</v>
      </c>
      <c r="G1" s="26">
        <v>2023</v>
      </c>
      <c r="H1" s="26">
        <v>2024</v>
      </c>
      <c r="I1" s="26">
        <v>2025</v>
      </c>
      <c r="J1" s="26">
        <v>2026</v>
      </c>
      <c r="K1" s="26">
        <v>2027</v>
      </c>
    </row>
    <row r="2" spans="1:15" ht="21" x14ac:dyDescent="0.25">
      <c r="A2" s="4" t="s">
        <v>0</v>
      </c>
      <c r="B2" s="9" t="s">
        <v>90</v>
      </c>
      <c r="C2" s="9" t="s">
        <v>90</v>
      </c>
      <c r="D2" s="9" t="s">
        <v>90</v>
      </c>
      <c r="E2" s="9" t="s">
        <v>90</v>
      </c>
      <c r="F2" s="9" t="s">
        <v>90</v>
      </c>
      <c r="G2" s="9" t="s">
        <v>90</v>
      </c>
      <c r="H2" s="9" t="s">
        <v>90</v>
      </c>
      <c r="I2" s="9" t="s">
        <v>90</v>
      </c>
      <c r="J2" s="9"/>
      <c r="K2" s="9"/>
    </row>
    <row r="3" spans="1:15" ht="40" x14ac:dyDescent="0.25">
      <c r="A3" s="5" t="s">
        <v>1</v>
      </c>
      <c r="B3" s="1">
        <v>146562000</v>
      </c>
      <c r="C3" s="1">
        <v>204027000</v>
      </c>
      <c r="D3" s="1">
        <v>269451000</v>
      </c>
      <c r="E3" s="1">
        <v>366388000</v>
      </c>
      <c r="F3" s="1">
        <v>478776000</v>
      </c>
      <c r="G3" s="27">
        <v>561000000</v>
      </c>
      <c r="H3" s="27">
        <v>659000000</v>
      </c>
      <c r="I3" s="27">
        <v>615000000</v>
      </c>
      <c r="J3" s="27">
        <v>716000000</v>
      </c>
      <c r="K3" s="27">
        <v>824000000</v>
      </c>
      <c r="L3" s="18" t="s">
        <v>109</v>
      </c>
      <c r="M3" s="19" t="s">
        <v>110</v>
      </c>
      <c r="N3" s="19" t="s">
        <v>111</v>
      </c>
      <c r="O3" s="19" t="s">
        <v>112</v>
      </c>
    </row>
    <row r="4" spans="1:15" ht="19" x14ac:dyDescent="0.25">
      <c r="A4" s="14" t="s">
        <v>93</v>
      </c>
      <c r="B4" s="1"/>
      <c r="C4" s="15">
        <f>(C3/B3)-1</f>
        <v>0.39208662545543871</v>
      </c>
      <c r="D4" s="15">
        <f>(D3/C3)-1</f>
        <v>0.32066344160331717</v>
      </c>
      <c r="E4" s="15">
        <f>(E3/D3)-1</f>
        <v>0.35975743270576088</v>
      </c>
      <c r="F4" s="15">
        <f t="shared" ref="F4:K4" si="0">(F3/E3)-1</f>
        <v>0.30674585412185995</v>
      </c>
      <c r="G4" s="16">
        <f t="shared" si="0"/>
        <v>0.17173793172590113</v>
      </c>
      <c r="H4" s="16">
        <f t="shared" si="0"/>
        <v>0.17468805704099832</v>
      </c>
      <c r="I4" s="16">
        <f t="shared" si="0"/>
        <v>-6.6767830045523557E-2</v>
      </c>
      <c r="J4" s="16">
        <f t="shared" si="0"/>
        <v>0.16422764227642284</v>
      </c>
      <c r="K4" s="16">
        <f t="shared" si="0"/>
        <v>0.15083798882681565</v>
      </c>
      <c r="L4" s="17">
        <f>(F4+E4+D4)/3</f>
        <v>0.329055576143646</v>
      </c>
      <c r="M4" s="17">
        <f>(F20+E20+D20)/3</f>
        <v>-0.25486506568090367</v>
      </c>
      <c r="N4" s="17">
        <f>(F29+E29+D29)/3</f>
        <v>0.95991250318544019</v>
      </c>
      <c r="O4" s="17">
        <f>(F106+E106+D106)/3</f>
        <v>3.9615744356954341</v>
      </c>
    </row>
    <row r="5" spans="1:15" ht="19" x14ac:dyDescent="0.25">
      <c r="A5" s="5" t="s">
        <v>2</v>
      </c>
      <c r="B5" s="1">
        <v>49303000</v>
      </c>
      <c r="C5" s="1">
        <v>56029000</v>
      </c>
      <c r="D5" s="1">
        <v>60788000</v>
      </c>
      <c r="E5" s="1">
        <v>90357000</v>
      </c>
      <c r="F5" s="1">
        <v>119227000</v>
      </c>
    </row>
    <row r="6" spans="1:15" ht="20" x14ac:dyDescent="0.25">
      <c r="A6" s="6" t="s">
        <v>3</v>
      </c>
      <c r="B6" s="10">
        <v>97259000</v>
      </c>
      <c r="C6" s="10">
        <v>147998000</v>
      </c>
      <c r="D6" s="10">
        <v>208663000</v>
      </c>
      <c r="E6" s="10">
        <v>276031000</v>
      </c>
      <c r="F6" s="10">
        <v>359549000</v>
      </c>
      <c r="L6" s="18" t="s">
        <v>113</v>
      </c>
      <c r="M6" s="19" t="s">
        <v>114</v>
      </c>
      <c r="N6" s="19" t="s">
        <v>115</v>
      </c>
      <c r="O6" s="19" t="s">
        <v>116</v>
      </c>
    </row>
    <row r="7" spans="1:15" ht="19" x14ac:dyDescent="0.25">
      <c r="A7" s="5" t="s">
        <v>4</v>
      </c>
      <c r="B7" s="2">
        <v>0.66359999999999997</v>
      </c>
      <c r="C7" s="2">
        <v>0.72540000000000004</v>
      </c>
      <c r="D7" s="2">
        <v>0.77439999999999998</v>
      </c>
      <c r="E7" s="2">
        <v>0.75339999999999996</v>
      </c>
      <c r="F7" s="2">
        <v>0.751</v>
      </c>
      <c r="L7" s="17">
        <f>F7</f>
        <v>0.751</v>
      </c>
      <c r="M7" s="20">
        <f>F21</f>
        <v>-0.17760000000000001</v>
      </c>
      <c r="N7" s="20">
        <f>F30</f>
        <v>-0.29509999999999997</v>
      </c>
      <c r="O7" s="20">
        <f>F107/F3</f>
        <v>0.18798979063278026</v>
      </c>
    </row>
    <row r="8" spans="1:15" ht="19" x14ac:dyDescent="0.25">
      <c r="A8" s="5" t="s">
        <v>5</v>
      </c>
      <c r="B8" s="1">
        <v>31515000</v>
      </c>
      <c r="C8" s="1">
        <v>42829000</v>
      </c>
      <c r="D8" s="1">
        <v>52431000</v>
      </c>
      <c r="E8" s="1">
        <v>82541000</v>
      </c>
      <c r="F8" s="1">
        <v>119906000</v>
      </c>
    </row>
    <row r="9" spans="1:15" ht="19" customHeight="1" x14ac:dyDescent="0.25">
      <c r="A9" s="14" t="s">
        <v>94</v>
      </c>
      <c r="B9" s="15">
        <f>B8/B3</f>
        <v>0.21502845212265118</v>
      </c>
      <c r="C9" s="15">
        <f t="shared" ref="C9:F9" si="1">C8/C3</f>
        <v>0.20991829512760565</v>
      </c>
      <c r="D9" s="15">
        <f t="shared" si="1"/>
        <v>0.19458454412861709</v>
      </c>
      <c r="E9" s="15">
        <f t="shared" si="1"/>
        <v>0.22528303328711638</v>
      </c>
      <c r="F9" s="15">
        <f t="shared" si="1"/>
        <v>0.2504427957959463</v>
      </c>
      <c r="L9" s="18" t="s">
        <v>95</v>
      </c>
      <c r="M9" s="19" t="s">
        <v>96</v>
      </c>
      <c r="N9" s="19" t="s">
        <v>97</v>
      </c>
      <c r="O9" s="19" t="s">
        <v>98</v>
      </c>
    </row>
    <row r="10" spans="1:15" ht="19" x14ac:dyDescent="0.25">
      <c r="A10" s="5" t="s">
        <v>6</v>
      </c>
      <c r="B10" s="1">
        <v>22270000</v>
      </c>
      <c r="C10" s="1">
        <v>32003000</v>
      </c>
      <c r="D10" s="1">
        <v>51904000</v>
      </c>
      <c r="E10" s="1">
        <v>96206000</v>
      </c>
      <c r="F10" s="1">
        <v>132562000</v>
      </c>
      <c r="L10" s="17">
        <f>F9</f>
        <v>0.2504427957959463</v>
      </c>
      <c r="M10" s="20">
        <f>F13</f>
        <v>0.73163650642471634</v>
      </c>
      <c r="N10" s="20">
        <f>F80</f>
        <v>0.22801894831821143</v>
      </c>
      <c r="O10" s="20">
        <f>F89</f>
        <v>1.6139071298477786E-2</v>
      </c>
    </row>
    <row r="11" spans="1:15" ht="19" x14ac:dyDescent="0.25">
      <c r="A11" s="5" t="s">
        <v>7</v>
      </c>
      <c r="B11" s="1">
        <v>51976000</v>
      </c>
      <c r="C11" s="1">
        <v>71006000</v>
      </c>
      <c r="D11" s="1">
        <v>96251000</v>
      </c>
      <c r="E11" s="1">
        <v>148192000</v>
      </c>
      <c r="F11" s="1">
        <v>217728000</v>
      </c>
    </row>
    <row r="12" spans="1:15" ht="20" x14ac:dyDescent="0.25">
      <c r="A12" s="5" t="s">
        <v>8</v>
      </c>
      <c r="B12" s="1">
        <v>74246000</v>
      </c>
      <c r="C12" s="1">
        <v>103009000</v>
      </c>
      <c r="D12" s="1">
        <v>148155000</v>
      </c>
      <c r="E12" s="1">
        <v>244398000</v>
      </c>
      <c r="F12" s="1">
        <v>350290000</v>
      </c>
      <c r="L12" s="18" t="s">
        <v>117</v>
      </c>
      <c r="M12" s="19" t="s">
        <v>118</v>
      </c>
      <c r="N12" s="19" t="s">
        <v>119</v>
      </c>
      <c r="O12" s="19" t="s">
        <v>120</v>
      </c>
    </row>
    <row r="13" spans="1:15" ht="19" x14ac:dyDescent="0.25">
      <c r="A13" s="14" t="s">
        <v>99</v>
      </c>
      <c r="B13" s="15">
        <f>B12/B3</f>
        <v>0.50658424421064119</v>
      </c>
      <c r="C13" s="15">
        <f t="shared" ref="C13:F13" si="2">C12/C3</f>
        <v>0.50487925617687857</v>
      </c>
      <c r="D13" s="15">
        <f t="shared" si="2"/>
        <v>0.54984023069129451</v>
      </c>
      <c r="E13" s="15">
        <f t="shared" si="2"/>
        <v>0.66704695568632155</v>
      </c>
      <c r="F13" s="15">
        <f t="shared" si="2"/>
        <v>0.73163650642471634</v>
      </c>
      <c r="L13" s="17">
        <f>F28/F72</f>
        <v>-0.20147346928299906</v>
      </c>
      <c r="M13" s="20">
        <f>F28/F54</f>
        <v>-9.2381248765970467E-2</v>
      </c>
      <c r="N13" s="20">
        <f>F22/(F72+F56+F61)</f>
        <v>-0.13029498716039792</v>
      </c>
      <c r="O13" s="21">
        <f>F67/F72</f>
        <v>1.1808913819014513</v>
      </c>
    </row>
    <row r="14" spans="1:15" ht="19" x14ac:dyDescent="0.25">
      <c r="A14" s="5" t="s">
        <v>9</v>
      </c>
      <c r="B14" s="1">
        <v>21491000</v>
      </c>
      <c r="C14" s="1">
        <v>22416000</v>
      </c>
      <c r="D14" s="1">
        <v>22575000</v>
      </c>
      <c r="E14" s="1">
        <v>25294000</v>
      </c>
      <c r="F14" s="1">
        <v>28227000</v>
      </c>
    </row>
    <row r="15" spans="1:15" ht="20" x14ac:dyDescent="0.25">
      <c r="A15" s="5" t="s">
        <v>10</v>
      </c>
      <c r="B15" s="1">
        <v>127252000</v>
      </c>
      <c r="C15" s="1">
        <v>168254000</v>
      </c>
      <c r="D15" s="1">
        <v>223161000</v>
      </c>
      <c r="E15" s="1">
        <v>352233000</v>
      </c>
      <c r="F15" s="1">
        <v>498423000</v>
      </c>
      <c r="L15" s="18" t="s">
        <v>121</v>
      </c>
      <c r="M15" s="19" t="s">
        <v>122</v>
      </c>
      <c r="N15" s="19" t="s">
        <v>123</v>
      </c>
      <c r="O15" s="19" t="s">
        <v>124</v>
      </c>
    </row>
    <row r="16" spans="1:15" ht="19" x14ac:dyDescent="0.25">
      <c r="A16" s="5" t="s">
        <v>11</v>
      </c>
      <c r="B16" s="1">
        <v>176555000</v>
      </c>
      <c r="C16" s="1">
        <v>224283000</v>
      </c>
      <c r="D16" s="1">
        <v>283949000</v>
      </c>
      <c r="E16" s="1">
        <v>442590000</v>
      </c>
      <c r="F16" s="1">
        <v>617650000</v>
      </c>
      <c r="L16" s="28">
        <f>(F35+E35+D35+C35+B35)/5</f>
        <v>1.8016923467657896E-2</v>
      </c>
      <c r="M16" s="29">
        <f>N101/F3</f>
        <v>4.878931024111484</v>
      </c>
      <c r="N16" s="29">
        <f>N101/F28</f>
        <v>-16.531483004366564</v>
      </c>
      <c r="O16" s="30">
        <f>N101/F107</f>
        <v>25.953170157213489</v>
      </c>
    </row>
    <row r="17" spans="1:15" ht="19" x14ac:dyDescent="0.25">
      <c r="A17" s="5" t="s">
        <v>12</v>
      </c>
      <c r="B17" s="1">
        <v>18203000</v>
      </c>
      <c r="C17" s="1">
        <v>21423000</v>
      </c>
      <c r="D17" s="1">
        <v>10741000</v>
      </c>
      <c r="E17" s="1">
        <v>2478000</v>
      </c>
      <c r="F17" s="1">
        <v>538000</v>
      </c>
    </row>
    <row r="18" spans="1:15" ht="20" x14ac:dyDescent="0.25">
      <c r="A18" s="5" t="s">
        <v>13</v>
      </c>
      <c r="B18" s="1">
        <v>33914000</v>
      </c>
      <c r="C18" s="1">
        <v>36807000</v>
      </c>
      <c r="D18" s="1">
        <v>38168000</v>
      </c>
      <c r="E18" s="1">
        <v>47069000</v>
      </c>
      <c r="F18" s="1">
        <v>54830000</v>
      </c>
      <c r="L18" s="18" t="s">
        <v>125</v>
      </c>
      <c r="M18" s="19" t="s">
        <v>126</v>
      </c>
      <c r="N18" s="19" t="s">
        <v>127</v>
      </c>
      <c r="O18" s="19" t="s">
        <v>128</v>
      </c>
    </row>
    <row r="19" spans="1:15" ht="19" x14ac:dyDescent="0.25">
      <c r="A19" s="6" t="s">
        <v>14</v>
      </c>
      <c r="B19" s="10">
        <v>3724000</v>
      </c>
      <c r="C19" s="10">
        <v>15519000</v>
      </c>
      <c r="D19" s="10">
        <v>17826000</v>
      </c>
      <c r="E19" s="10">
        <v>-30431000</v>
      </c>
      <c r="F19" s="10">
        <v>-85020000</v>
      </c>
      <c r="G19" s="31">
        <v>48900000</v>
      </c>
      <c r="H19" s="31">
        <v>69700000</v>
      </c>
      <c r="I19" s="31">
        <v>65046000</v>
      </c>
      <c r="J19" s="31">
        <v>93629000</v>
      </c>
      <c r="K19" s="31">
        <v>128400000</v>
      </c>
      <c r="L19" s="32">
        <f>F40-F56-F61</f>
        <v>-140167000</v>
      </c>
      <c r="M19" s="29">
        <f>N101/G3</f>
        <v>4.163841497326203</v>
      </c>
      <c r="N19" s="29">
        <f>N101/G28</f>
        <v>63.980144617912899</v>
      </c>
      <c r="O19" s="30">
        <f>N101/G105</f>
        <v>-93.190188347319761</v>
      </c>
    </row>
    <row r="20" spans="1:15" ht="19" customHeight="1" x14ac:dyDescent="0.25">
      <c r="A20" s="14" t="s">
        <v>100</v>
      </c>
      <c r="B20" s="1"/>
      <c r="C20" s="15">
        <f>(C19/B19)-1</f>
        <v>3.1672932330827068</v>
      </c>
      <c r="D20" s="15">
        <f>(D19/C19)-1</f>
        <v>0.1486564855982988</v>
      </c>
      <c r="E20" s="15">
        <f>(E19/D19)-1</f>
        <v>-2.7071132054302707</v>
      </c>
      <c r="F20" s="15">
        <f t="shared" ref="F20:K20" si="3">(F19/E19)-1</f>
        <v>1.7938615227892609</v>
      </c>
      <c r="G20" s="16">
        <f t="shared" si="3"/>
        <v>-1.5751587861679606</v>
      </c>
      <c r="H20" s="16">
        <f t="shared" si="3"/>
        <v>0.42535787321063401</v>
      </c>
      <c r="I20" s="16">
        <f t="shared" si="3"/>
        <v>-6.6771879483500718E-2</v>
      </c>
      <c r="J20" s="16">
        <f t="shared" si="3"/>
        <v>0.43942748208959803</v>
      </c>
      <c r="K20" s="16">
        <f t="shared" si="3"/>
        <v>0.37136998152281886</v>
      </c>
    </row>
    <row r="21" spans="1:15" ht="19" x14ac:dyDescent="0.25">
      <c r="A21" s="5" t="s">
        <v>15</v>
      </c>
      <c r="B21" s="2">
        <v>2.5399999999999999E-2</v>
      </c>
      <c r="C21" s="2">
        <v>7.6100000000000001E-2</v>
      </c>
      <c r="D21" s="2">
        <v>6.6199999999999995E-2</v>
      </c>
      <c r="E21" s="2">
        <v>-8.3099999999999993E-2</v>
      </c>
      <c r="F21" s="2">
        <v>-0.17760000000000001</v>
      </c>
      <c r="G21" s="33">
        <f>G19/G3</f>
        <v>8.7165775401069512E-2</v>
      </c>
      <c r="H21" s="33">
        <f t="shared" ref="H21:K21" si="4">H19/H3</f>
        <v>0.10576631259484066</v>
      </c>
      <c r="I21" s="33">
        <f t="shared" si="4"/>
        <v>0.10576585365853658</v>
      </c>
      <c r="J21" s="33">
        <f t="shared" si="4"/>
        <v>0.13076675977653632</v>
      </c>
      <c r="K21" s="33">
        <f t="shared" si="4"/>
        <v>0.15582524271844661</v>
      </c>
    </row>
    <row r="22" spans="1:15" ht="19" x14ac:dyDescent="0.25">
      <c r="A22" s="6" t="s">
        <v>16</v>
      </c>
      <c r="B22" s="10">
        <v>-29993000</v>
      </c>
      <c r="C22" s="10">
        <v>-20256000</v>
      </c>
      <c r="D22" s="10">
        <v>-14498000</v>
      </c>
      <c r="E22" s="10">
        <v>-76202000</v>
      </c>
      <c r="F22" s="10">
        <v>-138874000</v>
      </c>
    </row>
    <row r="23" spans="1:15" ht="19" x14ac:dyDescent="0.25">
      <c r="A23" s="5" t="s">
        <v>17</v>
      </c>
      <c r="B23" s="2">
        <v>-0.2046</v>
      </c>
      <c r="C23" s="2">
        <v>-9.9299999999999999E-2</v>
      </c>
      <c r="D23" s="2">
        <v>-5.3800000000000001E-2</v>
      </c>
      <c r="E23" s="2">
        <v>-0.20799999999999999</v>
      </c>
      <c r="F23" s="2">
        <v>-0.29010000000000002</v>
      </c>
    </row>
    <row r="24" spans="1:15" ht="19" x14ac:dyDescent="0.25">
      <c r="A24" s="5" t="s">
        <v>18</v>
      </c>
      <c r="B24" s="1">
        <v>-18400000</v>
      </c>
      <c r="C24" s="1">
        <v>-22455000</v>
      </c>
      <c r="D24" s="1">
        <v>-16585000</v>
      </c>
      <c r="E24" s="1">
        <v>-3776000</v>
      </c>
      <c r="F24" s="1">
        <v>-3340000</v>
      </c>
    </row>
    <row r="25" spans="1:15" ht="19" x14ac:dyDescent="0.25">
      <c r="A25" s="6" t="s">
        <v>19</v>
      </c>
      <c r="B25" s="10">
        <v>-48393000</v>
      </c>
      <c r="C25" s="10">
        <v>-42711000</v>
      </c>
      <c r="D25" s="10">
        <v>-31083000</v>
      </c>
      <c r="E25" s="10">
        <v>-79978000</v>
      </c>
      <c r="F25" s="10">
        <v>-142214000</v>
      </c>
    </row>
    <row r="26" spans="1:15" ht="19" x14ac:dyDescent="0.25">
      <c r="A26" s="5" t="s">
        <v>20</v>
      </c>
      <c r="B26" s="2">
        <v>-0.33019999999999999</v>
      </c>
      <c r="C26" s="2">
        <v>-0.20930000000000001</v>
      </c>
      <c r="D26" s="2">
        <v>-0.1154</v>
      </c>
      <c r="E26" s="2">
        <v>-0.21829999999999999</v>
      </c>
      <c r="F26" s="2">
        <v>-0.29699999999999999</v>
      </c>
    </row>
    <row r="27" spans="1:15" ht="19" x14ac:dyDescent="0.25">
      <c r="A27" s="5" t="s">
        <v>21</v>
      </c>
      <c r="B27" s="1">
        <v>-12137000</v>
      </c>
      <c r="C27" s="1">
        <v>-10111000</v>
      </c>
      <c r="D27" s="1">
        <v>-8312000</v>
      </c>
      <c r="E27" s="1">
        <v>-4789000</v>
      </c>
      <c r="F27" s="1">
        <v>913000</v>
      </c>
    </row>
    <row r="28" spans="1:15" ht="20" thickBot="1" x14ac:dyDescent="0.3">
      <c r="A28" s="7" t="s">
        <v>22</v>
      </c>
      <c r="B28" s="11">
        <v>-36256000</v>
      </c>
      <c r="C28" s="11">
        <v>-32600000</v>
      </c>
      <c r="D28" s="11">
        <v>-22771000</v>
      </c>
      <c r="E28" s="11">
        <v>-75189000</v>
      </c>
      <c r="F28" s="11">
        <v>-141301000</v>
      </c>
      <c r="G28" s="34">
        <v>36510000</v>
      </c>
      <c r="H28" s="34">
        <v>52136000</v>
      </c>
      <c r="I28" s="34">
        <v>48655000</v>
      </c>
      <c r="J28" s="34">
        <v>70828000</v>
      </c>
      <c r="K28" s="34">
        <v>97834000</v>
      </c>
    </row>
    <row r="29" spans="1:15" ht="20" customHeight="1" thickTop="1" x14ac:dyDescent="0.25">
      <c r="A29" s="14" t="s">
        <v>101</v>
      </c>
      <c r="B29" s="1"/>
      <c r="C29" s="15">
        <f>(C28/B28)-1</f>
        <v>-0.10083848190644307</v>
      </c>
      <c r="D29" s="15">
        <f>(D28/C28)-1</f>
        <v>-0.3015030674846626</v>
      </c>
      <c r="E29" s="15">
        <f>(E28/D28)-1</f>
        <v>2.3019630231434718</v>
      </c>
      <c r="F29" s="15">
        <f t="shared" ref="F29:K29" si="5">(F28/E28)-1</f>
        <v>0.8792775538975115</v>
      </c>
      <c r="G29" s="16">
        <f t="shared" si="5"/>
        <v>-1.2583845832655112</v>
      </c>
      <c r="H29" s="16">
        <f t="shared" si="5"/>
        <v>0.42799233086825517</v>
      </c>
      <c r="I29" s="16">
        <f t="shared" si="5"/>
        <v>-6.6767684517415993E-2</v>
      </c>
      <c r="J29" s="16">
        <f t="shared" si="5"/>
        <v>0.45571883670742985</v>
      </c>
      <c r="K29" s="16">
        <f t="shared" si="5"/>
        <v>0.38128988535607378</v>
      </c>
    </row>
    <row r="30" spans="1:15" ht="19" x14ac:dyDescent="0.25">
      <c r="A30" s="5" t="s">
        <v>23</v>
      </c>
      <c r="B30" s="2">
        <v>-0.24740000000000001</v>
      </c>
      <c r="C30" s="2">
        <v>-0.1598</v>
      </c>
      <c r="D30" s="2">
        <v>-8.4500000000000006E-2</v>
      </c>
      <c r="E30" s="2">
        <v>-0.20519999999999999</v>
      </c>
      <c r="F30" s="2">
        <v>-0.29509999999999997</v>
      </c>
      <c r="G30" s="35">
        <f>G28/G3</f>
        <v>6.5080213903743314E-2</v>
      </c>
      <c r="H30" s="35">
        <f t="shared" ref="H30:K30" si="6">H28/H3</f>
        <v>7.9113808801213964E-2</v>
      </c>
      <c r="I30" s="35">
        <f t="shared" si="6"/>
        <v>7.9113821138211388E-2</v>
      </c>
      <c r="J30" s="35">
        <f t="shared" si="6"/>
        <v>9.8921787709497208E-2</v>
      </c>
      <c r="K30" s="35">
        <f t="shared" si="6"/>
        <v>0.11873058252427185</v>
      </c>
    </row>
    <row r="31" spans="1:15" ht="19" x14ac:dyDescent="0.25">
      <c r="A31" s="5" t="s">
        <v>24</v>
      </c>
      <c r="B31" s="12">
        <v>-0.33</v>
      </c>
      <c r="C31" s="12">
        <v>-0.17</v>
      </c>
      <c r="D31" s="12">
        <v>-0.22</v>
      </c>
      <c r="E31" s="12">
        <v>-0.64</v>
      </c>
      <c r="F31" s="12">
        <v>-1.17</v>
      </c>
      <c r="G31" s="36">
        <v>0.28999999999999998</v>
      </c>
      <c r="H31" s="36">
        <v>0.42</v>
      </c>
      <c r="I31" s="36">
        <v>0.39</v>
      </c>
      <c r="J31" s="36">
        <v>0.56999999999999995</v>
      </c>
      <c r="K31" s="36">
        <v>0.79</v>
      </c>
    </row>
    <row r="32" spans="1:15" ht="19" x14ac:dyDescent="0.25">
      <c r="A32" s="5" t="s">
        <v>25</v>
      </c>
      <c r="B32" s="12">
        <v>-0.33</v>
      </c>
      <c r="C32" s="12">
        <v>-0.17</v>
      </c>
      <c r="D32" s="12">
        <v>-0.22</v>
      </c>
      <c r="E32" s="12">
        <v>-0.64</v>
      </c>
      <c r="F32" s="12">
        <v>-1.17</v>
      </c>
    </row>
    <row r="33" spans="1:6" ht="19" x14ac:dyDescent="0.25">
      <c r="A33" s="5" t="s">
        <v>26</v>
      </c>
      <c r="B33" s="1">
        <v>110745161</v>
      </c>
      <c r="C33" s="1">
        <v>110636708</v>
      </c>
      <c r="D33" s="1">
        <v>108908597</v>
      </c>
      <c r="E33" s="1">
        <v>118276462</v>
      </c>
      <c r="F33" s="1">
        <v>120720972</v>
      </c>
    </row>
    <row r="34" spans="1:6" ht="19" x14ac:dyDescent="0.25">
      <c r="A34" s="5" t="s">
        <v>27</v>
      </c>
      <c r="B34" s="1">
        <v>110745161</v>
      </c>
      <c r="C34" s="1">
        <v>110636708</v>
      </c>
      <c r="D34" s="1">
        <v>108908597</v>
      </c>
      <c r="E34" s="1">
        <v>118276462</v>
      </c>
      <c r="F34" s="1">
        <v>120720972</v>
      </c>
    </row>
    <row r="35" spans="1:6" ht="20" customHeight="1" x14ac:dyDescent="0.25">
      <c r="A35" s="14" t="s">
        <v>102</v>
      </c>
      <c r="B35" s="1"/>
      <c r="C35" s="22">
        <f>(C34-B34)/B34</f>
        <v>-9.7930238234066047E-4</v>
      </c>
      <c r="D35" s="22">
        <f t="shared" ref="D35:F35" si="7">(D34-C34)/C34</f>
        <v>-1.5619689262627011E-2</v>
      </c>
      <c r="E35" s="22">
        <f t="shared" si="7"/>
        <v>8.6015845011757894E-2</v>
      </c>
      <c r="F35" s="22">
        <f t="shared" si="7"/>
        <v>2.0667763971499248E-2</v>
      </c>
    </row>
    <row r="36" spans="1:6" ht="19" x14ac:dyDescent="0.25">
      <c r="A36" s="5" t="s">
        <v>28</v>
      </c>
      <c r="B36" s="13" t="s">
        <v>91</v>
      </c>
      <c r="C36" s="13" t="s">
        <v>91</v>
      </c>
      <c r="D36" s="13" t="s">
        <v>91</v>
      </c>
      <c r="E36" s="13" t="s">
        <v>91</v>
      </c>
      <c r="F36" s="13" t="s">
        <v>91</v>
      </c>
    </row>
    <row r="37" spans="1:6" ht="21" x14ac:dyDescent="0.25">
      <c r="A37" s="4" t="s">
        <v>29</v>
      </c>
      <c r="B37" s="9" t="s">
        <v>90</v>
      </c>
      <c r="C37" s="9" t="s">
        <v>90</v>
      </c>
      <c r="D37" s="9" t="s">
        <v>90</v>
      </c>
      <c r="E37" s="9" t="s">
        <v>90</v>
      </c>
      <c r="F37" s="9" t="s">
        <v>90</v>
      </c>
    </row>
    <row r="38" spans="1:6" ht="19" x14ac:dyDescent="0.25">
      <c r="A38" s="5" t="s">
        <v>30</v>
      </c>
      <c r="B38" s="1">
        <v>39240000</v>
      </c>
      <c r="C38" s="1">
        <v>32433000</v>
      </c>
      <c r="D38" s="1">
        <v>194868000</v>
      </c>
      <c r="E38" s="1">
        <v>177150000</v>
      </c>
      <c r="F38" s="1">
        <v>224338000</v>
      </c>
    </row>
    <row r="39" spans="1:6" ht="19" x14ac:dyDescent="0.25">
      <c r="A39" s="5" t="s">
        <v>31</v>
      </c>
      <c r="B39" s="1" t="s">
        <v>92</v>
      </c>
      <c r="C39" s="1" t="s">
        <v>92</v>
      </c>
      <c r="D39" s="1" t="s">
        <v>92</v>
      </c>
      <c r="E39" s="1" t="s">
        <v>92</v>
      </c>
      <c r="F39" s="1" t="s">
        <v>92</v>
      </c>
    </row>
    <row r="40" spans="1:6" ht="19" x14ac:dyDescent="0.25">
      <c r="A40" s="5" t="s">
        <v>32</v>
      </c>
      <c r="B40" s="1">
        <v>39240000</v>
      </c>
      <c r="C40" s="1">
        <v>32433000</v>
      </c>
      <c r="D40" s="1">
        <v>194868000</v>
      </c>
      <c r="E40" s="1">
        <v>177150000</v>
      </c>
      <c r="F40" s="1">
        <v>224338000</v>
      </c>
    </row>
    <row r="41" spans="1:6" ht="19" x14ac:dyDescent="0.25">
      <c r="A41" s="5" t="s">
        <v>33</v>
      </c>
      <c r="B41" s="1">
        <v>30919000</v>
      </c>
      <c r="C41" s="1">
        <v>46527000</v>
      </c>
      <c r="D41" s="1">
        <v>69688000</v>
      </c>
      <c r="E41" s="1">
        <v>79751000</v>
      </c>
      <c r="F41" s="1">
        <v>88628000</v>
      </c>
    </row>
    <row r="42" spans="1:6" ht="19" x14ac:dyDescent="0.25">
      <c r="A42" s="5" t="s">
        <v>34</v>
      </c>
      <c r="B42" s="1" t="s">
        <v>92</v>
      </c>
      <c r="C42" s="1" t="s">
        <v>92</v>
      </c>
      <c r="D42" s="1" t="s">
        <v>92</v>
      </c>
      <c r="E42" s="1" t="s">
        <v>92</v>
      </c>
      <c r="F42" s="1" t="s">
        <v>92</v>
      </c>
    </row>
    <row r="43" spans="1:6" ht="19" x14ac:dyDescent="0.25">
      <c r="A43" s="5" t="s">
        <v>35</v>
      </c>
      <c r="B43" s="1">
        <v>10130000</v>
      </c>
      <c r="C43" s="1">
        <v>19621000</v>
      </c>
      <c r="D43" s="1">
        <v>24355000</v>
      </c>
      <c r="E43" s="1">
        <v>34697000</v>
      </c>
      <c r="F43" s="1">
        <v>38080000</v>
      </c>
    </row>
    <row r="44" spans="1:6" ht="19" x14ac:dyDescent="0.25">
      <c r="A44" s="6" t="s">
        <v>36</v>
      </c>
      <c r="B44" s="10">
        <v>80289000</v>
      </c>
      <c r="C44" s="10">
        <v>98581000</v>
      </c>
      <c r="D44" s="10">
        <v>288911000</v>
      </c>
      <c r="E44" s="10">
        <v>291598000</v>
      </c>
      <c r="F44" s="10">
        <v>351046000</v>
      </c>
    </row>
    <row r="45" spans="1:6" ht="19" x14ac:dyDescent="0.25">
      <c r="A45" s="5" t="s">
        <v>37</v>
      </c>
      <c r="B45" s="1">
        <v>9228000</v>
      </c>
      <c r="C45" s="1">
        <v>12477000</v>
      </c>
      <c r="D45" s="1">
        <v>12755000</v>
      </c>
      <c r="E45" s="1">
        <v>18045000</v>
      </c>
      <c r="F45" s="1" t="s">
        <v>92</v>
      </c>
    </row>
    <row r="46" spans="1:6" ht="19" x14ac:dyDescent="0.25">
      <c r="A46" s="5" t="s">
        <v>38</v>
      </c>
      <c r="B46" s="1">
        <v>501145000</v>
      </c>
      <c r="C46" s="1">
        <v>539818000</v>
      </c>
      <c r="D46" s="1">
        <v>541480000</v>
      </c>
      <c r="E46" s="1">
        <v>845734000</v>
      </c>
      <c r="F46" s="1">
        <v>856925000</v>
      </c>
    </row>
    <row r="47" spans="1:6" ht="19" x14ac:dyDescent="0.25">
      <c r="A47" s="5" t="s">
        <v>39</v>
      </c>
      <c r="B47" s="1">
        <v>252171000</v>
      </c>
      <c r="C47" s="1">
        <v>235099000</v>
      </c>
      <c r="D47" s="1">
        <v>202878000</v>
      </c>
      <c r="E47" s="1">
        <v>264593000</v>
      </c>
      <c r="F47" s="1">
        <v>218744000</v>
      </c>
    </row>
    <row r="48" spans="1:6" ht="19" x14ac:dyDescent="0.25">
      <c r="A48" s="5" t="s">
        <v>40</v>
      </c>
      <c r="B48" s="1">
        <v>753316000</v>
      </c>
      <c r="C48" s="1">
        <v>774917000</v>
      </c>
      <c r="D48" s="1">
        <v>744358000</v>
      </c>
      <c r="E48" s="1">
        <v>1110327000</v>
      </c>
      <c r="F48" s="1">
        <v>1075669000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10551000</v>
      </c>
      <c r="C51" s="1">
        <v>18833000</v>
      </c>
      <c r="D51" s="1">
        <v>32129000</v>
      </c>
      <c r="E51" s="1">
        <v>60450000</v>
      </c>
      <c r="F51" s="1">
        <v>102827000</v>
      </c>
    </row>
    <row r="52" spans="1:6" ht="19" x14ac:dyDescent="0.25">
      <c r="A52" s="5" t="s">
        <v>44</v>
      </c>
      <c r="B52" s="1">
        <v>773095000</v>
      </c>
      <c r="C52" s="1">
        <v>806227000</v>
      </c>
      <c r="D52" s="1">
        <v>789242000</v>
      </c>
      <c r="E52" s="1">
        <v>1188822000</v>
      </c>
      <c r="F52" s="1">
        <v>1178496000</v>
      </c>
    </row>
    <row r="53" spans="1:6" ht="19" x14ac:dyDescent="0.25">
      <c r="A53" s="5" t="s">
        <v>45</v>
      </c>
      <c r="B53" s="1" t="s">
        <v>92</v>
      </c>
      <c r="C53" s="1" t="s">
        <v>92</v>
      </c>
      <c r="D53" s="1" t="s">
        <v>92</v>
      </c>
      <c r="E53" s="1" t="s">
        <v>92</v>
      </c>
      <c r="F53" s="1" t="s">
        <v>92</v>
      </c>
    </row>
    <row r="54" spans="1:6" ht="20" thickBot="1" x14ac:dyDescent="0.3">
      <c r="A54" s="7" t="s">
        <v>46</v>
      </c>
      <c r="B54" s="11">
        <v>853384000</v>
      </c>
      <c r="C54" s="11">
        <v>904808000</v>
      </c>
      <c r="D54" s="11">
        <v>1078153000</v>
      </c>
      <c r="E54" s="11">
        <v>1480420000</v>
      </c>
      <c r="F54" s="11">
        <v>1529542000</v>
      </c>
    </row>
    <row r="55" spans="1:6" ht="20" thickTop="1" x14ac:dyDescent="0.25">
      <c r="A55" s="5" t="s">
        <v>47</v>
      </c>
      <c r="B55" s="1">
        <v>2343000</v>
      </c>
      <c r="C55" s="1">
        <v>3684000</v>
      </c>
      <c r="D55" s="1">
        <v>6967000</v>
      </c>
      <c r="E55" s="1">
        <v>9306000</v>
      </c>
      <c r="F55" s="1">
        <v>15393000</v>
      </c>
    </row>
    <row r="56" spans="1:6" ht="19" x14ac:dyDescent="0.25">
      <c r="A56" s="5" t="s">
        <v>48</v>
      </c>
      <c r="B56" s="1" t="s">
        <v>92</v>
      </c>
      <c r="C56" s="1" t="s">
        <v>92</v>
      </c>
      <c r="D56" s="1" t="s">
        <v>92</v>
      </c>
      <c r="E56" s="1" t="s">
        <v>92</v>
      </c>
      <c r="F56" s="1">
        <v>0</v>
      </c>
    </row>
    <row r="57" spans="1:6" ht="19" x14ac:dyDescent="0.25">
      <c r="A57" s="5" t="s">
        <v>49</v>
      </c>
      <c r="B57" s="1">
        <v>147000</v>
      </c>
      <c r="C57" s="1">
        <v>819000</v>
      </c>
      <c r="D57" s="1">
        <v>713000</v>
      </c>
      <c r="E57" s="1">
        <v>167000</v>
      </c>
      <c r="F57" s="1">
        <v>486000</v>
      </c>
    </row>
    <row r="58" spans="1:6" ht="19" x14ac:dyDescent="0.25">
      <c r="A58" s="5" t="s">
        <v>50</v>
      </c>
      <c r="B58" s="1">
        <v>86220000</v>
      </c>
      <c r="C58" s="1">
        <v>120089000</v>
      </c>
      <c r="D58" s="1">
        <v>160443000</v>
      </c>
      <c r="E58" s="1">
        <v>223031000</v>
      </c>
      <c r="F58" s="1">
        <v>278038000</v>
      </c>
    </row>
    <row r="59" spans="1:6" ht="19" x14ac:dyDescent="0.25">
      <c r="A59" s="5" t="s">
        <v>51</v>
      </c>
      <c r="B59" s="1">
        <v>18809000</v>
      </c>
      <c r="C59" s="1">
        <v>26927000</v>
      </c>
      <c r="D59" s="1">
        <v>31574000</v>
      </c>
      <c r="E59" s="1">
        <v>54022000</v>
      </c>
      <c r="F59" s="1">
        <v>67051000</v>
      </c>
    </row>
    <row r="60" spans="1:6" ht="19" x14ac:dyDescent="0.25">
      <c r="A60" s="6" t="s">
        <v>52</v>
      </c>
      <c r="B60" s="10">
        <v>107519000</v>
      </c>
      <c r="C60" s="10">
        <v>151519000</v>
      </c>
      <c r="D60" s="10">
        <v>199697000</v>
      </c>
      <c r="E60" s="10">
        <v>286526000</v>
      </c>
      <c r="F60" s="10">
        <v>360968000</v>
      </c>
    </row>
    <row r="61" spans="1:6" ht="19" x14ac:dyDescent="0.25">
      <c r="A61" s="5" t="s">
        <v>53</v>
      </c>
      <c r="B61" s="1">
        <v>171749000</v>
      </c>
      <c r="C61" s="1">
        <v>201319000</v>
      </c>
      <c r="D61" s="1" t="s">
        <v>92</v>
      </c>
      <c r="E61" s="1">
        <v>362031000</v>
      </c>
      <c r="F61" s="1">
        <v>364505000</v>
      </c>
    </row>
    <row r="62" spans="1:6" ht="19" x14ac:dyDescent="0.25">
      <c r="A62" s="5" t="s">
        <v>50</v>
      </c>
      <c r="B62" s="1">
        <v>14442000</v>
      </c>
      <c r="C62" s="1">
        <v>20621000</v>
      </c>
      <c r="D62" s="1">
        <v>45507000</v>
      </c>
      <c r="E62" s="1">
        <v>59097000</v>
      </c>
      <c r="F62" s="1">
        <v>68112000</v>
      </c>
    </row>
    <row r="63" spans="1:6" ht="19" x14ac:dyDescent="0.25">
      <c r="A63" s="5" t="s">
        <v>54</v>
      </c>
      <c r="B63" s="1">
        <v>26384000</v>
      </c>
      <c r="C63" s="1">
        <v>18133000</v>
      </c>
      <c r="D63" s="1">
        <v>6422000</v>
      </c>
      <c r="E63" s="1">
        <v>8700000</v>
      </c>
      <c r="F63" s="1">
        <v>5505000</v>
      </c>
    </row>
    <row r="64" spans="1:6" ht="19" x14ac:dyDescent="0.25">
      <c r="A64" s="5" t="s">
        <v>55</v>
      </c>
      <c r="B64" s="1">
        <v>196000</v>
      </c>
      <c r="C64" s="1">
        <v>9338000</v>
      </c>
      <c r="D64" s="1">
        <v>11046000</v>
      </c>
      <c r="E64" s="1">
        <v>25640000</v>
      </c>
      <c r="F64" s="1">
        <v>29114000</v>
      </c>
    </row>
    <row r="65" spans="1:6" ht="19" x14ac:dyDescent="0.25">
      <c r="A65" s="5" t="s">
        <v>56</v>
      </c>
      <c r="B65" s="1">
        <v>212771000</v>
      </c>
      <c r="C65" s="1">
        <v>249411000</v>
      </c>
      <c r="D65" s="1">
        <v>62975000</v>
      </c>
      <c r="E65" s="1">
        <v>455468000</v>
      </c>
      <c r="F65" s="1">
        <v>467236000</v>
      </c>
    </row>
    <row r="66" spans="1:6" ht="19" x14ac:dyDescent="0.25">
      <c r="A66" s="5" t="s">
        <v>57</v>
      </c>
      <c r="B66" s="1" t="s">
        <v>92</v>
      </c>
      <c r="C66" s="1" t="s">
        <v>92</v>
      </c>
      <c r="D66" s="1" t="s">
        <v>92</v>
      </c>
      <c r="E66" s="1" t="s">
        <v>92</v>
      </c>
      <c r="F66" s="1" t="s">
        <v>92</v>
      </c>
    </row>
    <row r="67" spans="1:6" ht="19" x14ac:dyDescent="0.25">
      <c r="A67" s="6" t="s">
        <v>58</v>
      </c>
      <c r="B67" s="10">
        <v>320290000</v>
      </c>
      <c r="C67" s="10">
        <v>400930000</v>
      </c>
      <c r="D67" s="10">
        <v>262672000</v>
      </c>
      <c r="E67" s="10">
        <v>741994000</v>
      </c>
      <c r="F67" s="10">
        <v>828204000</v>
      </c>
    </row>
    <row r="68" spans="1:6" ht="19" x14ac:dyDescent="0.25">
      <c r="A68" s="5" t="s">
        <v>59</v>
      </c>
      <c r="B68" s="1">
        <v>103000</v>
      </c>
      <c r="C68" s="1">
        <v>103000</v>
      </c>
      <c r="D68" s="1">
        <v>117000</v>
      </c>
      <c r="E68" s="1">
        <v>119000</v>
      </c>
      <c r="F68" s="1">
        <v>123000</v>
      </c>
    </row>
    <row r="69" spans="1:6" ht="19" x14ac:dyDescent="0.25">
      <c r="A69" s="5" t="s">
        <v>60</v>
      </c>
      <c r="B69" s="1">
        <v>-32381000</v>
      </c>
      <c r="C69" s="1">
        <v>-64981000</v>
      </c>
      <c r="D69" s="1">
        <v>-87752000</v>
      </c>
      <c r="E69" s="1">
        <v>-167408000</v>
      </c>
      <c r="F69" s="1">
        <v>-308709000</v>
      </c>
    </row>
    <row r="70" spans="1:6" ht="19" x14ac:dyDescent="0.25">
      <c r="A70" s="5" t="s">
        <v>61</v>
      </c>
      <c r="B70" s="1">
        <v>-2999000</v>
      </c>
      <c r="C70" s="1">
        <v>-6823000</v>
      </c>
      <c r="D70" s="1" t="s">
        <v>92</v>
      </c>
      <c r="E70" s="1">
        <v>-7866000</v>
      </c>
      <c r="F70" s="1">
        <v>-39951000</v>
      </c>
    </row>
    <row r="71" spans="1:6" ht="19" x14ac:dyDescent="0.25">
      <c r="A71" s="5" t="s">
        <v>62</v>
      </c>
      <c r="B71" s="1">
        <v>568371000</v>
      </c>
      <c r="C71" s="1">
        <v>575579000</v>
      </c>
      <c r="D71" s="1">
        <v>903116000</v>
      </c>
      <c r="E71" s="1">
        <v>913581000</v>
      </c>
      <c r="F71" s="1">
        <v>1049875000</v>
      </c>
    </row>
    <row r="72" spans="1:6" ht="19" x14ac:dyDescent="0.25">
      <c r="A72" s="6" t="s">
        <v>63</v>
      </c>
      <c r="B72" s="10">
        <v>533094000</v>
      </c>
      <c r="C72" s="10">
        <v>503878000</v>
      </c>
      <c r="D72" s="10">
        <v>815481000</v>
      </c>
      <c r="E72" s="10">
        <v>738426000</v>
      </c>
      <c r="F72" s="10">
        <v>701338000</v>
      </c>
    </row>
    <row r="73" spans="1:6" ht="20" thickBot="1" x14ac:dyDescent="0.3">
      <c r="A73" s="7" t="s">
        <v>64</v>
      </c>
      <c r="B73" s="11">
        <v>853384000</v>
      </c>
      <c r="C73" s="11">
        <v>904808000</v>
      </c>
      <c r="D73" s="11">
        <v>1078153000</v>
      </c>
      <c r="E73" s="11">
        <v>1480420000</v>
      </c>
      <c r="F73" s="11">
        <v>1529542000</v>
      </c>
    </row>
    <row r="74" spans="1:6" ht="20" thickTop="1" x14ac:dyDescent="0.25">
      <c r="A74" s="5" t="s">
        <v>28</v>
      </c>
      <c r="B74" s="13" t="s">
        <v>91</v>
      </c>
      <c r="C74" s="13" t="s">
        <v>91</v>
      </c>
      <c r="D74" s="13" t="s">
        <v>91</v>
      </c>
      <c r="E74" s="13" t="s">
        <v>91</v>
      </c>
      <c r="F74" s="13" t="s">
        <v>91</v>
      </c>
    </row>
    <row r="75" spans="1:6" ht="21" x14ac:dyDescent="0.25">
      <c r="A75" s="4" t="s">
        <v>65</v>
      </c>
      <c r="B75" s="9" t="s">
        <v>90</v>
      </c>
      <c r="C75" s="9" t="s">
        <v>90</v>
      </c>
      <c r="D75" s="9" t="s">
        <v>90</v>
      </c>
      <c r="E75" s="9" t="s">
        <v>90</v>
      </c>
      <c r="F75" s="9" t="s">
        <v>90</v>
      </c>
    </row>
    <row r="76" spans="1:6" ht="19" x14ac:dyDescent="0.25">
      <c r="A76" s="5" t="s">
        <v>66</v>
      </c>
      <c r="B76" s="1">
        <v>-36256000</v>
      </c>
      <c r="C76" s="1">
        <v>-32600000</v>
      </c>
      <c r="D76" s="1">
        <v>-22771000</v>
      </c>
      <c r="E76" s="1">
        <v>-75189000</v>
      </c>
      <c r="F76" s="1">
        <v>-141301000</v>
      </c>
    </row>
    <row r="77" spans="1:6" ht="19" x14ac:dyDescent="0.25">
      <c r="A77" s="5" t="s">
        <v>13</v>
      </c>
      <c r="B77" s="1">
        <v>33914000</v>
      </c>
      <c r="C77" s="1">
        <v>36807000</v>
      </c>
      <c r="D77" s="1">
        <v>38168000</v>
      </c>
      <c r="E77" s="1">
        <v>47069000</v>
      </c>
      <c r="F77" s="1">
        <v>54830000</v>
      </c>
    </row>
    <row r="78" spans="1:6" ht="19" x14ac:dyDescent="0.25">
      <c r="A78" s="5" t="s">
        <v>67</v>
      </c>
      <c r="B78" s="1">
        <v>-12550000</v>
      </c>
      <c r="C78" s="1">
        <v>-11247000</v>
      </c>
      <c r="D78" s="1">
        <v>-8530000</v>
      </c>
      <c r="E78" s="1">
        <v>-5644000</v>
      </c>
      <c r="F78" s="1">
        <v>-2955000</v>
      </c>
    </row>
    <row r="79" spans="1:6" ht="19" x14ac:dyDescent="0.25">
      <c r="A79" s="5" t="s">
        <v>68</v>
      </c>
      <c r="B79" s="1">
        <v>2315000</v>
      </c>
      <c r="C79" s="1">
        <v>2461000</v>
      </c>
      <c r="D79" s="1">
        <v>6743000</v>
      </c>
      <c r="E79" s="1">
        <v>35805000</v>
      </c>
      <c r="F79" s="1">
        <v>109170000</v>
      </c>
    </row>
    <row r="80" spans="1:6" ht="19" x14ac:dyDescent="0.25">
      <c r="A80" s="14" t="s">
        <v>103</v>
      </c>
      <c r="B80" s="15">
        <f t="shared" ref="B80:F80" si="8">B79/B3</f>
        <v>1.579536305454347E-2</v>
      </c>
      <c r="C80" s="15">
        <f t="shared" si="8"/>
        <v>1.2062129031941852E-2</v>
      </c>
      <c r="D80" s="15">
        <f t="shared" si="8"/>
        <v>2.5024958155657244E-2</v>
      </c>
      <c r="E80" s="15">
        <f t="shared" si="8"/>
        <v>9.7724270445538608E-2</v>
      </c>
      <c r="F80" s="15">
        <f t="shared" si="8"/>
        <v>0.22801894831821143</v>
      </c>
    </row>
    <row r="81" spans="1:14" ht="19" x14ac:dyDescent="0.25">
      <c r="A81" s="5" t="s">
        <v>69</v>
      </c>
      <c r="B81" s="1">
        <v>17982000</v>
      </c>
      <c r="C81" s="1">
        <v>8209000</v>
      </c>
      <c r="D81" s="1">
        <v>23768000</v>
      </c>
      <c r="E81" s="1">
        <v>36403000</v>
      </c>
      <c r="F81" s="1">
        <v>70261000</v>
      </c>
    </row>
    <row r="82" spans="1:14" ht="19" x14ac:dyDescent="0.25">
      <c r="A82" s="5" t="s">
        <v>70</v>
      </c>
      <c r="B82" s="1">
        <v>-3353000</v>
      </c>
      <c r="C82" s="1">
        <v>-14462000</v>
      </c>
      <c r="D82" s="1">
        <v>-23170000</v>
      </c>
      <c r="E82" s="1">
        <v>-6521000</v>
      </c>
      <c r="F82" s="1">
        <v>-9487000</v>
      </c>
    </row>
    <row r="83" spans="1:14" ht="21" x14ac:dyDescent="0.25">
      <c r="A83" s="5" t="s">
        <v>34</v>
      </c>
      <c r="B83" s="1" t="s">
        <v>92</v>
      </c>
      <c r="C83" s="1" t="s">
        <v>92</v>
      </c>
      <c r="D83" s="1" t="s">
        <v>92</v>
      </c>
      <c r="E83" s="1" t="s">
        <v>92</v>
      </c>
      <c r="F83" s="1" t="s">
        <v>92</v>
      </c>
      <c r="M83" s="69" t="s">
        <v>129</v>
      </c>
      <c r="N83" s="70"/>
    </row>
    <row r="84" spans="1:14" ht="19" x14ac:dyDescent="0.25">
      <c r="A84" s="5" t="s">
        <v>47</v>
      </c>
      <c r="B84" s="1">
        <v>-313000</v>
      </c>
      <c r="C84" s="1">
        <v>1295000</v>
      </c>
      <c r="D84" s="1">
        <v>3888000</v>
      </c>
      <c r="E84" s="1">
        <v>2069000</v>
      </c>
      <c r="F84" s="1">
        <v>5891000</v>
      </c>
      <c r="M84" s="71" t="s">
        <v>130</v>
      </c>
      <c r="N84" s="72"/>
    </row>
    <row r="85" spans="1:14" ht="20" x14ac:dyDescent="0.25">
      <c r="A85" s="5" t="s">
        <v>71</v>
      </c>
      <c r="B85" s="1">
        <v>18277000</v>
      </c>
      <c r="C85" s="1">
        <v>20507000</v>
      </c>
      <c r="D85" s="1">
        <v>39770000</v>
      </c>
      <c r="E85" s="1">
        <v>45810000</v>
      </c>
      <c r="F85" s="1" t="s">
        <v>92</v>
      </c>
      <c r="M85" s="23" t="s">
        <v>131</v>
      </c>
      <c r="N85" s="24">
        <f>F17</f>
        <v>538000</v>
      </c>
    </row>
    <row r="86" spans="1:14" ht="20" x14ac:dyDescent="0.25">
      <c r="A86" s="5" t="s">
        <v>72</v>
      </c>
      <c r="B86" s="1">
        <v>3955000</v>
      </c>
      <c r="C86" s="1">
        <v>7553000</v>
      </c>
      <c r="D86" s="1">
        <v>15365000</v>
      </c>
      <c r="E86" s="1">
        <v>26721000</v>
      </c>
      <c r="F86" s="1" t="s">
        <v>92</v>
      </c>
      <c r="M86" s="23" t="s">
        <v>132</v>
      </c>
      <c r="N86" s="24">
        <f>F56</f>
        <v>0</v>
      </c>
    </row>
    <row r="87" spans="1:14" ht="20" x14ac:dyDescent="0.25">
      <c r="A87" s="6" t="s">
        <v>73</v>
      </c>
      <c r="B87" s="10">
        <v>9360000</v>
      </c>
      <c r="C87" s="10">
        <v>11183000</v>
      </c>
      <c r="D87" s="10">
        <v>52743000</v>
      </c>
      <c r="E87" s="10">
        <v>65165000</v>
      </c>
      <c r="F87" s="10">
        <v>90005000</v>
      </c>
      <c r="M87" s="23" t="s">
        <v>133</v>
      </c>
      <c r="N87" s="24">
        <f>F61</f>
        <v>364505000</v>
      </c>
    </row>
    <row r="88" spans="1:14" ht="20" x14ac:dyDescent="0.25">
      <c r="A88" s="5" t="s">
        <v>74</v>
      </c>
      <c r="B88" s="1">
        <v>-2909000</v>
      </c>
      <c r="C88" s="1">
        <v>-7190000</v>
      </c>
      <c r="D88" s="1">
        <v>-4368000</v>
      </c>
      <c r="E88" s="1">
        <v>-9755000</v>
      </c>
      <c r="F88" s="1">
        <v>-7727000</v>
      </c>
      <c r="M88" s="37" t="s">
        <v>134</v>
      </c>
      <c r="N88" s="38">
        <f>N85/(N86+N87)</f>
        <v>1.4759742664709674E-3</v>
      </c>
    </row>
    <row r="89" spans="1:14" ht="20" customHeight="1" x14ac:dyDescent="0.25">
      <c r="A89" s="14" t="s">
        <v>104</v>
      </c>
      <c r="B89" s="15">
        <f t="shared" ref="B89:F89" si="9">(-1*B88)/B3</f>
        <v>1.9848255345860454E-2</v>
      </c>
      <c r="C89" s="15">
        <f t="shared" si="9"/>
        <v>3.524043386414543E-2</v>
      </c>
      <c r="D89" s="15">
        <f t="shared" si="9"/>
        <v>1.6210739614994935E-2</v>
      </c>
      <c r="E89" s="15">
        <f t="shared" si="9"/>
        <v>2.6624780287564005E-2</v>
      </c>
      <c r="F89" s="15">
        <f t="shared" si="9"/>
        <v>1.6139071298477786E-2</v>
      </c>
      <c r="M89" s="23" t="s">
        <v>105</v>
      </c>
      <c r="N89" s="24">
        <f>F27</f>
        <v>913000</v>
      </c>
    </row>
    <row r="90" spans="1:14" ht="20" x14ac:dyDescent="0.25">
      <c r="A90" s="5" t="s">
        <v>75</v>
      </c>
      <c r="B90" s="1">
        <v>-2893000</v>
      </c>
      <c r="C90" s="1">
        <v>-40173000</v>
      </c>
      <c r="D90" s="1">
        <v>-2512000</v>
      </c>
      <c r="E90" s="1">
        <v>-352711000</v>
      </c>
      <c r="F90" s="1">
        <v>-23816000</v>
      </c>
      <c r="M90" s="23" t="s">
        <v>19</v>
      </c>
      <c r="N90" s="24">
        <f>F25</f>
        <v>-142214000</v>
      </c>
    </row>
    <row r="91" spans="1:14" ht="20" x14ac:dyDescent="0.25">
      <c r="A91" s="5" t="s">
        <v>76</v>
      </c>
      <c r="B91" s="1" t="s">
        <v>92</v>
      </c>
      <c r="C91" s="1" t="s">
        <v>92</v>
      </c>
      <c r="D91" s="1" t="s">
        <v>92</v>
      </c>
      <c r="E91" s="1" t="s">
        <v>92</v>
      </c>
      <c r="F91" s="1">
        <v>-3100000</v>
      </c>
      <c r="M91" s="37" t="s">
        <v>135</v>
      </c>
      <c r="N91" s="38">
        <f>N89/N90</f>
        <v>-6.4199024006075349E-3</v>
      </c>
    </row>
    <row r="92" spans="1:14" ht="20" x14ac:dyDescent="0.25">
      <c r="A92" s="5" t="s">
        <v>77</v>
      </c>
      <c r="B92" s="1" t="s">
        <v>92</v>
      </c>
      <c r="C92" s="1" t="s">
        <v>92</v>
      </c>
      <c r="D92" s="1" t="s">
        <v>92</v>
      </c>
      <c r="E92" s="1" t="s">
        <v>92</v>
      </c>
      <c r="F92" s="1" t="s">
        <v>92</v>
      </c>
      <c r="M92" s="39" t="s">
        <v>136</v>
      </c>
      <c r="N92" s="40">
        <f>N88*(1-N91)</f>
        <v>1.4854498772075193E-3</v>
      </c>
    </row>
    <row r="93" spans="1:14" ht="19" x14ac:dyDescent="0.25">
      <c r="A93" s="5" t="s">
        <v>78</v>
      </c>
      <c r="B93" s="1" t="s">
        <v>92</v>
      </c>
      <c r="C93" s="1" t="s">
        <v>92</v>
      </c>
      <c r="D93" s="1">
        <v>4000</v>
      </c>
      <c r="E93" s="1">
        <v>-24952000</v>
      </c>
      <c r="F93" s="1">
        <v>-7866000</v>
      </c>
      <c r="M93" s="71" t="s">
        <v>137</v>
      </c>
      <c r="N93" s="72"/>
    </row>
    <row r="94" spans="1:14" ht="20" x14ac:dyDescent="0.25">
      <c r="A94" s="6" t="s">
        <v>79</v>
      </c>
      <c r="B94" s="10">
        <v>-5802000</v>
      </c>
      <c r="C94" s="10">
        <v>-47363000</v>
      </c>
      <c r="D94" s="10">
        <v>-6876000</v>
      </c>
      <c r="E94" s="10">
        <v>-387418000</v>
      </c>
      <c r="F94" s="10">
        <v>-34782000</v>
      </c>
      <c r="M94" s="23" t="s">
        <v>138</v>
      </c>
      <c r="N94" s="41">
        <f>[1]Treasuries!$C$8</f>
        <v>3.7280000000000001E-2</v>
      </c>
    </row>
    <row r="95" spans="1:14" ht="20" x14ac:dyDescent="0.25">
      <c r="A95" s="5" t="s">
        <v>80</v>
      </c>
      <c r="B95" s="1" t="s">
        <v>92</v>
      </c>
      <c r="C95" s="1" t="s">
        <v>92</v>
      </c>
      <c r="D95" s="1">
        <v>-205000000</v>
      </c>
      <c r="E95" s="1">
        <v>-250000000</v>
      </c>
      <c r="F95" s="1" t="s">
        <v>92</v>
      </c>
      <c r="M95" s="42" t="s">
        <v>139</v>
      </c>
      <c r="N95" s="43" cm="1">
        <f t="array" ref="N95">_FV(A1,"Beta")</f>
        <v>1.2749999999999999</v>
      </c>
    </row>
    <row r="96" spans="1:14" ht="20" x14ac:dyDescent="0.25">
      <c r="A96" s="5" t="s">
        <v>81</v>
      </c>
      <c r="B96" s="1" t="s">
        <v>92</v>
      </c>
      <c r="C96" s="1" t="s">
        <v>92</v>
      </c>
      <c r="D96" s="1">
        <v>328549000</v>
      </c>
      <c r="E96" s="1" t="s">
        <v>92</v>
      </c>
      <c r="F96" s="1" t="s">
        <v>92</v>
      </c>
      <c r="M96" s="23" t="s">
        <v>140</v>
      </c>
      <c r="N96" s="41">
        <v>8.4000000000000005E-2</v>
      </c>
    </row>
    <row r="97" spans="1:14" ht="20" x14ac:dyDescent="0.25">
      <c r="A97" s="5" t="s">
        <v>82</v>
      </c>
      <c r="B97" s="1" t="s">
        <v>92</v>
      </c>
      <c r="C97" s="1" t="s">
        <v>92</v>
      </c>
      <c r="D97" s="1" t="s">
        <v>92</v>
      </c>
      <c r="E97" s="1" t="s">
        <v>92</v>
      </c>
      <c r="F97" s="1" t="s">
        <v>92</v>
      </c>
      <c r="M97" s="39" t="s">
        <v>141</v>
      </c>
      <c r="N97" s="40">
        <f>(N94)+((N95)*(N96-N94))</f>
        <v>9.6848000000000004E-2</v>
      </c>
    </row>
    <row r="98" spans="1:14" ht="19" x14ac:dyDescent="0.25">
      <c r="A98" s="5" t="s">
        <v>83</v>
      </c>
      <c r="B98" s="1" t="s">
        <v>92</v>
      </c>
      <c r="C98" s="1" t="s">
        <v>92</v>
      </c>
      <c r="D98" s="1" t="s">
        <v>92</v>
      </c>
      <c r="E98" s="1" t="s">
        <v>92</v>
      </c>
      <c r="F98" s="1" t="s">
        <v>92</v>
      </c>
      <c r="M98" s="71" t="s">
        <v>142</v>
      </c>
      <c r="N98" s="72"/>
    </row>
    <row r="99" spans="1:14" ht="20" x14ac:dyDescent="0.25">
      <c r="A99" s="5" t="s">
        <v>84</v>
      </c>
      <c r="B99" s="1">
        <v>1770000</v>
      </c>
      <c r="C99" s="1">
        <v>29373000</v>
      </c>
      <c r="D99" s="1">
        <v>-7585000</v>
      </c>
      <c r="E99" s="1">
        <v>555528000</v>
      </c>
      <c r="F99" s="1">
        <v>261000</v>
      </c>
      <c r="M99" s="23" t="s">
        <v>143</v>
      </c>
      <c r="N99" s="24">
        <f>N86+N87</f>
        <v>364505000</v>
      </c>
    </row>
    <row r="100" spans="1:14" ht="20" x14ac:dyDescent="0.25">
      <c r="A100" s="6" t="s">
        <v>85</v>
      </c>
      <c r="B100" s="10">
        <v>1770000</v>
      </c>
      <c r="C100" s="10">
        <v>29373000</v>
      </c>
      <c r="D100" s="10">
        <v>115964000</v>
      </c>
      <c r="E100" s="10">
        <v>305528000</v>
      </c>
      <c r="F100" s="10">
        <v>261000</v>
      </c>
      <c r="M100" s="37" t="s">
        <v>144</v>
      </c>
      <c r="N100" s="38">
        <f>N99/N103</f>
        <v>0.13498085083117883</v>
      </c>
    </row>
    <row r="101" spans="1:14" ht="20" x14ac:dyDescent="0.25">
      <c r="A101" s="5" t="s">
        <v>86</v>
      </c>
      <c r="B101" s="1" t="s">
        <v>92</v>
      </c>
      <c r="C101" s="1" t="s">
        <v>92</v>
      </c>
      <c r="D101" s="1">
        <v>604000</v>
      </c>
      <c r="E101" s="1">
        <v>-993000</v>
      </c>
      <c r="F101" s="1">
        <v>-713000</v>
      </c>
      <c r="M101" s="42" t="s">
        <v>145</v>
      </c>
      <c r="N101" s="44" cm="1">
        <f t="array" ref="N101">_FV(A1,"Market cap",TRUE)</f>
        <v>2335915080</v>
      </c>
    </row>
    <row r="102" spans="1:14" ht="20" x14ac:dyDescent="0.25">
      <c r="A102" s="6" t="s">
        <v>87</v>
      </c>
      <c r="B102" s="10">
        <v>5328000</v>
      </c>
      <c r="C102" s="10">
        <v>-6807000</v>
      </c>
      <c r="D102" s="10">
        <v>162435000</v>
      </c>
      <c r="E102" s="10">
        <v>-17718000</v>
      </c>
      <c r="F102" s="10">
        <v>54771000</v>
      </c>
      <c r="M102" s="37" t="s">
        <v>146</v>
      </c>
      <c r="N102" s="38">
        <f>N101/N103</f>
        <v>0.86501914916882117</v>
      </c>
    </row>
    <row r="103" spans="1:14" ht="20" x14ac:dyDescent="0.25">
      <c r="A103" s="5" t="s">
        <v>88</v>
      </c>
      <c r="B103" s="1">
        <v>33912000</v>
      </c>
      <c r="C103" s="1">
        <v>39240000</v>
      </c>
      <c r="D103" s="1">
        <v>32433000</v>
      </c>
      <c r="E103" s="1">
        <v>194868000</v>
      </c>
      <c r="F103" s="1">
        <v>177150000</v>
      </c>
      <c r="M103" s="39" t="s">
        <v>147</v>
      </c>
      <c r="N103" s="45">
        <f>N99+N101</f>
        <v>2700420080</v>
      </c>
    </row>
    <row r="104" spans="1:14" ht="20" thickBot="1" x14ac:dyDescent="0.3">
      <c r="A104" s="7" t="s">
        <v>89</v>
      </c>
      <c r="B104" s="11">
        <v>39240000</v>
      </c>
      <c r="C104" s="11">
        <v>32433000</v>
      </c>
      <c r="D104" s="11">
        <v>194868000</v>
      </c>
      <c r="E104" s="11">
        <v>177150000</v>
      </c>
      <c r="F104" s="11">
        <v>231921000</v>
      </c>
      <c r="M104" s="71" t="s">
        <v>148</v>
      </c>
      <c r="N104" s="72"/>
    </row>
    <row r="105" spans="1:14" ht="21" thickTop="1" x14ac:dyDescent="0.25">
      <c r="A105" s="14" t="s">
        <v>108</v>
      </c>
      <c r="B105" s="1">
        <f t="shared" ref="B105:E105" si="10">((B22*(1-$N$91))+B77+B88+B81)</f>
        <v>18801447.867298577</v>
      </c>
      <c r="C105" s="1">
        <f t="shared" si="10"/>
        <v>17439958.456973296</v>
      </c>
      <c r="D105" s="1">
        <f t="shared" si="10"/>
        <v>42976924.254995994</v>
      </c>
      <c r="E105" s="1">
        <f t="shared" si="10"/>
        <v>-2974209.4027310908</v>
      </c>
      <c r="F105" s="1">
        <f>((F22*(1-$N$91))+F77+F88+F81)</f>
        <v>-22401557.525981963</v>
      </c>
      <c r="G105" s="46">
        <f>F105*(1+$N$106)</f>
        <v>-25066105.363947183</v>
      </c>
      <c r="H105" s="46">
        <f t="shared" ref="H105:K105" si="11">G105*(1+$N$106)</f>
        <v>-28047587.199585132</v>
      </c>
      <c r="I105" s="46">
        <f t="shared" si="11"/>
        <v>-31383700.670539852</v>
      </c>
      <c r="J105" s="46">
        <f t="shared" si="11"/>
        <v>-35116627.3508408</v>
      </c>
      <c r="K105" s="46">
        <f t="shared" si="11"/>
        <v>-39293566.091630943</v>
      </c>
      <c r="L105" s="47" t="s">
        <v>149</v>
      </c>
      <c r="M105" s="48" t="s">
        <v>150</v>
      </c>
      <c r="N105" s="49">
        <f>(N100*N92)+(N102*N97)</f>
        <v>8.3975881846994546E-2</v>
      </c>
    </row>
    <row r="106" spans="1:14" ht="19" x14ac:dyDescent="0.25">
      <c r="A106" s="14" t="s">
        <v>107</v>
      </c>
      <c r="B106" s="15" t="e">
        <f t="shared" ref="B106:F106" si="12">(B107/A107)-1</f>
        <v>#VALUE!</v>
      </c>
      <c r="C106" s="15">
        <f t="shared" si="12"/>
        <v>-0.38102619748876143</v>
      </c>
      <c r="D106" s="15">
        <f t="shared" si="12"/>
        <v>11.114951164537942</v>
      </c>
      <c r="E106" s="15">
        <f t="shared" si="12"/>
        <v>0.14542635658914738</v>
      </c>
      <c r="F106" s="15">
        <f t="shared" si="12"/>
        <v>0.6243457859592132</v>
      </c>
      <c r="G106" s="50">
        <v>69908000</v>
      </c>
      <c r="H106" s="50">
        <v>91891000</v>
      </c>
      <c r="I106" s="50">
        <v>100000000</v>
      </c>
      <c r="J106" s="50">
        <v>112300000</v>
      </c>
      <c r="K106" s="50">
        <v>142800000</v>
      </c>
      <c r="L106" s="47" t="s">
        <v>151</v>
      </c>
      <c r="M106" s="51" t="s">
        <v>152</v>
      </c>
      <c r="N106" s="52">
        <f>(SUM(G4:K4)/5)</f>
        <v>0.11894475796492288</v>
      </c>
    </row>
    <row r="107" spans="1:14" ht="19" x14ac:dyDescent="0.25">
      <c r="A107" s="25" t="s">
        <v>106</v>
      </c>
      <c r="B107" s="1">
        <v>6451000</v>
      </c>
      <c r="C107" s="1">
        <v>3993000</v>
      </c>
      <c r="D107" s="1">
        <v>48375000</v>
      </c>
      <c r="E107" s="1">
        <v>55410000</v>
      </c>
      <c r="F107" s="1">
        <v>90005000</v>
      </c>
      <c r="G107" s="47"/>
      <c r="H107" s="47"/>
      <c r="I107" s="47"/>
      <c r="J107" s="47"/>
      <c r="K107" s="53">
        <f>K106*(1+N107)/(N108-N107)</f>
        <v>2481861998.7699113</v>
      </c>
      <c r="L107" s="54" t="s">
        <v>153</v>
      </c>
      <c r="M107" s="55" t="s">
        <v>154</v>
      </c>
      <c r="N107" s="56">
        <v>2.5000000000000001E-2</v>
      </c>
    </row>
    <row r="108" spans="1:14" ht="19" x14ac:dyDescent="0.25">
      <c r="A108" s="5"/>
      <c r="B108" s="13"/>
      <c r="C108" s="13"/>
      <c r="D108" s="13"/>
      <c r="E108" s="13"/>
      <c r="F108" s="13"/>
      <c r="G108" s="53">
        <f t="shared" ref="G108:J108" si="13">G107+G106</f>
        <v>69908000</v>
      </c>
      <c r="H108" s="53">
        <f t="shared" si="13"/>
        <v>91891000</v>
      </c>
      <c r="I108" s="53">
        <f t="shared" si="13"/>
        <v>100000000</v>
      </c>
      <c r="J108" s="53">
        <f t="shared" si="13"/>
        <v>112300000</v>
      </c>
      <c r="K108" s="53">
        <f>K107+K106</f>
        <v>2624661998.7699113</v>
      </c>
      <c r="L108" s="54" t="s">
        <v>147</v>
      </c>
      <c r="M108" s="57" t="s">
        <v>155</v>
      </c>
      <c r="N108" s="58">
        <f>N105</f>
        <v>8.3975881846994546E-2</v>
      </c>
    </row>
    <row r="109" spans="1:14" ht="19" x14ac:dyDescent="0.25">
      <c r="G109" s="67" t="s">
        <v>156</v>
      </c>
      <c r="H109" s="68"/>
    </row>
    <row r="110" spans="1:14" ht="20" x14ac:dyDescent="0.25">
      <c r="G110" s="59" t="s">
        <v>157</v>
      </c>
      <c r="H110" s="44">
        <f>NPV(N108,G108,H108,I108,J108,K108)</f>
        <v>2056330150.1540828</v>
      </c>
    </row>
    <row r="111" spans="1:14" ht="20" x14ac:dyDescent="0.25">
      <c r="G111" s="59" t="s">
        <v>158</v>
      </c>
      <c r="H111" s="44">
        <f>F40</f>
        <v>224338000</v>
      </c>
    </row>
    <row r="112" spans="1:14" ht="20" x14ac:dyDescent="0.25">
      <c r="G112" s="59" t="s">
        <v>143</v>
      </c>
      <c r="H112" s="44">
        <f>N99</f>
        <v>364505000</v>
      </c>
    </row>
    <row r="113" spans="7:8" ht="20" x14ac:dyDescent="0.25">
      <c r="G113" s="59" t="s">
        <v>159</v>
      </c>
      <c r="H113" s="44">
        <f>H110+H111-H112</f>
        <v>1916163150.1540828</v>
      </c>
    </row>
    <row r="114" spans="7:8" ht="20" x14ac:dyDescent="0.25">
      <c r="G114" s="59" t="s">
        <v>160</v>
      </c>
      <c r="H114" s="60">
        <f>F34*(1+(5*L16))</f>
        <v>131596074.56732635</v>
      </c>
    </row>
    <row r="115" spans="7:8" ht="20" x14ac:dyDescent="0.25">
      <c r="G115" s="61" t="s">
        <v>161</v>
      </c>
      <c r="H115" s="62">
        <f>H113/H114</f>
        <v>14.560944590894673</v>
      </c>
    </row>
    <row r="116" spans="7:8" ht="20" x14ac:dyDescent="0.25">
      <c r="G116" s="59" t="s">
        <v>162</v>
      </c>
      <c r="H116" s="63" cm="1">
        <f t="array" ref="H116">_FV(A1,"Price")</f>
        <v>18.84</v>
      </c>
    </row>
    <row r="117" spans="7:8" ht="20" x14ac:dyDescent="0.25">
      <c r="G117" s="64" t="s">
        <v>163</v>
      </c>
      <c r="H117" s="65">
        <f>H115/H116-1</f>
        <v>-0.22712608328584538</v>
      </c>
    </row>
    <row r="118" spans="7:8" ht="20" x14ac:dyDescent="0.25">
      <c r="G118" s="64" t="s">
        <v>164</v>
      </c>
      <c r="H118" s="66" t="str">
        <f>IF(H115&gt;H116,"BUY","SELL")</f>
        <v>SELL</v>
      </c>
    </row>
  </sheetData>
  <mergeCells count="6">
    <mergeCell ref="G109:H109"/>
    <mergeCell ref="M83:N83"/>
    <mergeCell ref="M84:N84"/>
    <mergeCell ref="M93:N93"/>
    <mergeCell ref="M98:N98"/>
    <mergeCell ref="M104:N104"/>
  </mergeCells>
  <hyperlinks>
    <hyperlink ref="A1" r:id="rId1" tooltip="https://roic.ai/company/JAMF" display="ROIC.AI | JAMF"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1947/000155837021002391/0001558370-21-002391-index.htm" xr:uid="{00000000-0004-0000-0000-000007000000}"/>
    <hyperlink ref="D74" r:id="rId7" tooltip="https://www.sec.gov/Archives/edgar/data/1721947/000155837021002391/0001558370-21-002391-index.htm" xr:uid="{00000000-0004-0000-0000-000008000000}"/>
    <hyperlink ref="E36" r:id="rId8" tooltip="https://www.sec.gov/Archives/edgar/data/1721947/000162828022004530/0001628280-22-004530-index.htm" xr:uid="{00000000-0004-0000-0000-00000A000000}"/>
    <hyperlink ref="E74" r:id="rId9" tooltip="https://www.sec.gov/Archives/edgar/data/1721947/000162828022004530/0001628280-22-004530-index.htm" xr:uid="{00000000-0004-0000-0000-00000B000000}"/>
    <hyperlink ref="F36" r:id="rId10" tooltip="https://www.sec.gov/Archives/edgar/data/1721947/000162828023005848/0001628280-23-005848-index.htm" xr:uid="{00000000-0004-0000-0000-00000D000000}"/>
    <hyperlink ref="F74" r:id="rId11" tooltip="https://www.sec.gov/Archives/edgar/data/1721947/000162828023005848/0001628280-23-005848-index.htm" xr:uid="{00000000-0004-0000-0000-00000E000000}"/>
    <hyperlink ref="G1" r:id="rId12" display="https://finbox.com/NASDAQGS:JAMF/explorer/revenue_proj" xr:uid="{3520569E-C1AD-E640-9752-C933A7724267}"/>
    <hyperlink ref="L106" r:id="rId13" xr:uid="{008603AC-9E9F-3A48-9A35-8425926AB221}"/>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2023-03-12T15:17:56Z</dcterms:created>
  <dcterms:modified xsi:type="dcterms:W3CDTF">2023-06-23T10:21:29Z</dcterms:modified>
</cp:coreProperties>
</file>