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EEAD0AEA-B761-F045-9F97-70211895F765}" xr6:coauthVersionLast="47" xr6:coauthVersionMax="47" xr10:uidLastSave="{00000000-0000-0000-0000-000000000000}"/>
  <bookViews>
    <workbookView xWindow="40960" yWindow="98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6" i="1" l="1"/>
  <c r="P106" i="1" s="1"/>
  <c r="Q106" i="1" s="1"/>
  <c r="R106" i="1" s="1"/>
  <c r="N106" i="1"/>
  <c r="N108" i="1"/>
  <c r="O116" i="1" a="1"/>
  <c r="O116" i="1" s="1"/>
  <c r="U101" i="1" a="1"/>
  <c r="U101" i="1" s="1"/>
  <c r="V16" i="1" s="1"/>
  <c r="U95" i="1" a="1"/>
  <c r="U95" i="1" s="1"/>
  <c r="U97" i="1" s="1"/>
  <c r="V13" i="1"/>
  <c r="V10" i="1"/>
  <c r="V7" i="1"/>
  <c r="V4" i="1"/>
  <c r="O114" i="1"/>
  <c r="O111" i="1"/>
  <c r="U90" i="1"/>
  <c r="U89" i="1"/>
  <c r="U91" i="1" s="1"/>
  <c r="U87" i="1"/>
  <c r="U86" i="1"/>
  <c r="U99" i="1" s="1"/>
  <c r="U85" i="1"/>
  <c r="U88" i="1" s="1"/>
  <c r="U92" i="1" s="1"/>
  <c r="S19" i="1"/>
  <c r="S16" i="1"/>
  <c r="U13" i="1"/>
  <c r="T13" i="1"/>
  <c r="S13" i="1"/>
  <c r="U10" i="1"/>
  <c r="T10" i="1"/>
  <c r="S10" i="1"/>
  <c r="U7" i="1"/>
  <c r="T7" i="1"/>
  <c r="S7" i="1"/>
  <c r="U4" i="1"/>
  <c r="T4" i="1"/>
  <c r="S4" i="1"/>
  <c r="R4" i="1"/>
  <c r="Q4" i="1"/>
  <c r="P4" i="1"/>
  <c r="O4" i="1"/>
  <c r="N4" i="1"/>
  <c r="U106" i="1" s="1"/>
  <c r="M105" i="1"/>
  <c r="L105" i="1"/>
  <c r="K105" i="1"/>
  <c r="J105" i="1"/>
  <c r="I105" i="1"/>
  <c r="H105" i="1"/>
  <c r="G105" i="1"/>
  <c r="F105" i="1"/>
  <c r="E105" i="1"/>
  <c r="D105" i="1"/>
  <c r="C105" i="1"/>
  <c r="M89" i="1"/>
  <c r="L89" i="1"/>
  <c r="K89" i="1"/>
  <c r="J89" i="1"/>
  <c r="I89" i="1"/>
  <c r="H89" i="1"/>
  <c r="G89" i="1"/>
  <c r="F89" i="1"/>
  <c r="E89" i="1"/>
  <c r="D89" i="1"/>
  <c r="C89" i="1"/>
  <c r="B89" i="1"/>
  <c r="M80" i="1"/>
  <c r="L80" i="1"/>
  <c r="K80" i="1"/>
  <c r="J80" i="1"/>
  <c r="I80" i="1"/>
  <c r="H80" i="1"/>
  <c r="G80" i="1"/>
  <c r="F80" i="1"/>
  <c r="E80" i="1"/>
  <c r="D80" i="1"/>
  <c r="C80" i="1"/>
  <c r="B80" i="1"/>
  <c r="M35" i="1"/>
  <c r="L35" i="1"/>
  <c r="K35" i="1"/>
  <c r="J35" i="1"/>
  <c r="I35" i="1"/>
  <c r="H35" i="1"/>
  <c r="G35" i="1"/>
  <c r="F35" i="1"/>
  <c r="E35" i="1"/>
  <c r="D35" i="1"/>
  <c r="C35" i="1"/>
  <c r="M29" i="1"/>
  <c r="L29" i="1"/>
  <c r="K29" i="1"/>
  <c r="J29" i="1"/>
  <c r="I29" i="1"/>
  <c r="H29" i="1"/>
  <c r="G29" i="1"/>
  <c r="F29" i="1"/>
  <c r="E29" i="1"/>
  <c r="D29" i="1"/>
  <c r="C29" i="1"/>
  <c r="M20" i="1"/>
  <c r="L20" i="1"/>
  <c r="K20" i="1"/>
  <c r="J20" i="1"/>
  <c r="I20" i="1"/>
  <c r="H20" i="1"/>
  <c r="G20" i="1"/>
  <c r="F20" i="1"/>
  <c r="E20" i="1"/>
  <c r="D20" i="1"/>
  <c r="C20" i="1"/>
  <c r="M13" i="1"/>
  <c r="L13" i="1"/>
  <c r="K13" i="1"/>
  <c r="J13" i="1"/>
  <c r="I13" i="1"/>
  <c r="H13" i="1"/>
  <c r="G13" i="1"/>
  <c r="F13" i="1"/>
  <c r="E13" i="1"/>
  <c r="D13" i="1"/>
  <c r="C13" i="1"/>
  <c r="B13" i="1"/>
  <c r="M9" i="1"/>
  <c r="L9" i="1"/>
  <c r="K9" i="1"/>
  <c r="J9" i="1"/>
  <c r="I9" i="1"/>
  <c r="H9" i="1"/>
  <c r="G9" i="1"/>
  <c r="F9" i="1"/>
  <c r="E9" i="1"/>
  <c r="D9" i="1"/>
  <c r="C9" i="1"/>
  <c r="B9" i="1"/>
  <c r="M4" i="1"/>
  <c r="L4" i="1"/>
  <c r="K4" i="1"/>
  <c r="J4" i="1"/>
  <c r="I4" i="1"/>
  <c r="H4" i="1"/>
  <c r="G4" i="1"/>
  <c r="F4" i="1"/>
  <c r="E4" i="1"/>
  <c r="D4" i="1"/>
  <c r="C4" i="1"/>
  <c r="U16" i="1" l="1"/>
  <c r="T16" i="1"/>
  <c r="O108" i="1"/>
  <c r="U103" i="1"/>
  <c r="U102" i="1" s="1"/>
  <c r="U100" i="1"/>
  <c r="O112" i="1"/>
  <c r="U105" i="1" l="1"/>
  <c r="U108" i="1" s="1"/>
  <c r="P108" i="1"/>
  <c r="R107" i="1" l="1"/>
  <c r="R108" i="1" s="1"/>
  <c r="Q108" i="1"/>
  <c r="O110" i="1" l="1"/>
  <c r="O113" i="1" s="1"/>
  <c r="O115" i="1" s="1"/>
  <c r="O118" i="1" s="1"/>
  <c r="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<sst xmlns="http://schemas.openxmlformats.org/spreadsheetml/2006/main" count="446" uniqueCount="160">
  <si>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</si>
  <si>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</si>
  <si>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</si>
  <si>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</si>
  <si>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</si>
  <si>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</si>
  <si>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</si>
  <si>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</si>
  <si>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</si>
  <si>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</si>
  <si>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</si>
  <si>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</si>
  <si>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</si>
  <si>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</si>
  <si>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</si>
  <si>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</si>
  <si>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</si>
  <si>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</si>
  <si>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</si>
  <si>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</si>
  <si>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</si>
  <si>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</si>
  <si>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</si>
  <si>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</si>
  <si>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</si>
  <si>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</si>
  <si>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</si>
  <si>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</si>
  <si>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</si>
  <si>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</si>
  <si>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</si>
  <si>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</si>
  <si>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</si>
  <si>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</si>
  <si>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</si>
  <si>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</si>
  <si>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</si>
  <si>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</si>
  <si>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</si>
  <si>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</si>
  <si>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</si>
  <si>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</si>
  <si>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</si>
  <si>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</si>
  <si>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</si>
  <si>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</si>
  <si>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</si>
  <si>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</si>
  <si>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</si>
  <si>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</si>
  <si>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</si>
  <si>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</si>
  <si>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</si>
  <si>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</si>
  <si>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</si>
  <si>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</si>
  <si>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</si>
  <si>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</si>
  <si>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</si>
  <si>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</si>
  <si>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</si>
  <si>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</si>
  <si>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</si>
  <si>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</si>
  <si>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</si>
  <si>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</si>
  <si>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</si>
  <si>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</si>
  <si>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</si>
  <si>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</si>
  <si>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</si>
  <si>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</si>
  <si>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</si>
  <si>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</si>
  <si>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</si>
  <si>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</si>
  <si>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</si>
  <si>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</si>
  <si>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</si>
  <si>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</si>
  <si>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</si>
  <si>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</si>
  <si>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</si>
  <si>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</si>
  <si>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</si>
  <si>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</si>
  <si>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</si>
  <si>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</si>
  <si>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</si>
  <si>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</si>
  <si>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</si>
  <si>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</si>
  <si>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</si>
  <si>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</si>
  <si>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</si>
  <si>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</si>
  <si>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</si>
  <si>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</si>
  <si>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</si>
  <si>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</si>
  <si>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</si>
  <si>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</si>
  <si>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</si>
  <si>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</si>
  <si>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</si>
  <si>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</si>
  <si>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</si>
  <si>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</si>
  <si>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</si>
  <si>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</si>
  <si>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</si>
  <si>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</si>
  <si>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Gross Profit Margin</t>
  </si>
  <si>
    <t>EBITDA Margin</t>
  </si>
  <si>
    <t>Net Income Margin</t>
  </si>
  <si>
    <t>ROE</t>
  </si>
  <si>
    <t>ROA</t>
  </si>
  <si>
    <t>ROIC</t>
  </si>
  <si>
    <t>Share Dilution (5yr)</t>
  </si>
  <si>
    <t>P/S</t>
  </si>
  <si>
    <t>P/E</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</si>
  <si>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</si>
  <si>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</si>
  <si>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</si>
  <si>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</si>
  <si>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</si>
  <si>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</si>
  <si>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</si>
  <si>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</si>
  <si>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</si>
  <si>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</si>
  <si>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</si>
  <si>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</si>
  <si>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</si>
  <si>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</si>
  <si>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</si>
  <si>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</si>
  <si>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</si>
  <si>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</si>
  <si>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</si>
  <si>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</si>
  <si>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</si>
  <si>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</si>
  <si>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</si>
  <si>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</si>
  <si>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</si>
  <si>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</si>
  <si>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</si>
  <si>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</si>
  <si>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</si>
  <si>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</si>
  <si>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</si>
  <si>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</si>
  <si>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</si>
  <si>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</si>
  <si>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</si>
  <si>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3yr FCF Growth</t>
  </si>
  <si>
    <t>FCF Margin</t>
  </si>
  <si>
    <t>Debt to Equity</t>
  </si>
  <si>
    <t>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</si>
</sst>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2" fontId="11" fillId="0" borderId="5"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12" fillId="4"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PCTY</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9971830169884928E-2"/>
          <c:y val="0.11121381545129376"/>
          <c:w val="0.84253436978745344"/>
          <c:h val="0.7486978739648857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1'!$B$3:$M$3</c:f>
              <c:numCache>
                <c:formatCode>#,###,,;\(#,###,,\);\ \-\ \-</c:formatCode>
                <c:ptCount val="12"/>
                <c:pt idx="0">
                  <c:v>39484000</c:v>
                </c:pt>
                <c:pt idx="1">
                  <c:v>55096000</c:v>
                </c:pt>
                <c:pt idx="2">
                  <c:v>77294000</c:v>
                </c:pt>
                <c:pt idx="3">
                  <c:v>108687000</c:v>
                </c:pt>
                <c:pt idx="4">
                  <c:v>152698000</c:v>
                </c:pt>
                <c:pt idx="5">
                  <c:v>230701000</c:v>
                </c:pt>
                <c:pt idx="6">
                  <c:v>300010000</c:v>
                </c:pt>
                <c:pt idx="7">
                  <c:v>377527000</c:v>
                </c:pt>
                <c:pt idx="8">
                  <c:v>467633000</c:v>
                </c:pt>
                <c:pt idx="9">
                  <c:v>561329000</c:v>
                </c:pt>
                <c:pt idx="10">
                  <c:v>635627000</c:v>
                </c:pt>
                <c:pt idx="11">
                  <c:v>852651000</c:v>
                </c:pt>
              </c:numCache>
            </c:numRef>
          </c:val>
          <c:extLst>
            <c:ext xmlns:c16="http://schemas.microsoft.com/office/drawing/2014/chart" uri="{C3380CC4-5D6E-409C-BE32-E72D297353CC}">
              <c16:uniqueId val="{00000000-BB22-294B-813C-B210FA5CB7ED}"/>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1'!$B$19:$M$19</c:f>
              <c:numCache>
                <c:formatCode>#,###,,;\(#,###,,\);\ \-\ \-</c:formatCode>
                <c:ptCount val="12"/>
                <c:pt idx="0">
                  <c:v>3613000</c:v>
                </c:pt>
                <c:pt idx="1">
                  <c:v>7196000</c:v>
                </c:pt>
                <c:pt idx="2">
                  <c:v>5586000</c:v>
                </c:pt>
                <c:pt idx="3">
                  <c:v>-519000</c:v>
                </c:pt>
                <c:pt idx="4">
                  <c:v>-5258000</c:v>
                </c:pt>
                <c:pt idx="5">
                  <c:v>10199000</c:v>
                </c:pt>
                <c:pt idx="6">
                  <c:v>28396000</c:v>
                </c:pt>
                <c:pt idx="7">
                  <c:v>46953000</c:v>
                </c:pt>
                <c:pt idx="8">
                  <c:v>92610000</c:v>
                </c:pt>
                <c:pt idx="9">
                  <c:v>105031000</c:v>
                </c:pt>
                <c:pt idx="10">
                  <c:v>100076000</c:v>
                </c:pt>
                <c:pt idx="11">
                  <c:v>133815000</c:v>
                </c:pt>
              </c:numCache>
            </c:numRef>
          </c:val>
          <c:extLst>
            <c:ext xmlns:c16="http://schemas.microsoft.com/office/drawing/2014/chart" uri="{C3380CC4-5D6E-409C-BE32-E72D297353CC}">
              <c16:uniqueId val="{00000001-BB22-294B-813C-B210FA5CB7ED}"/>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1'!$B$106:$M$106</c:f>
              <c:numCache>
                <c:formatCode>#,###,,;\(#,###,,\);\ \-\ \-</c:formatCode>
                <c:ptCount val="12"/>
                <c:pt idx="0">
                  <c:v>289000</c:v>
                </c:pt>
                <c:pt idx="1">
                  <c:v>1402000</c:v>
                </c:pt>
                <c:pt idx="2">
                  <c:v>274000</c:v>
                </c:pt>
                <c:pt idx="3">
                  <c:v>-3817000</c:v>
                </c:pt>
                <c:pt idx="4">
                  <c:v>-2130000</c:v>
                </c:pt>
                <c:pt idx="5">
                  <c:v>8519000</c:v>
                </c:pt>
                <c:pt idx="6">
                  <c:v>27001000</c:v>
                </c:pt>
                <c:pt idx="7">
                  <c:v>60552000</c:v>
                </c:pt>
                <c:pt idx="8">
                  <c:v>83610000</c:v>
                </c:pt>
                <c:pt idx="9">
                  <c:v>70362000</c:v>
                </c:pt>
                <c:pt idx="10">
                  <c:v>86795000</c:v>
                </c:pt>
                <c:pt idx="11">
                  <c:v>102469000</c:v>
                </c:pt>
              </c:numCache>
            </c:numRef>
          </c:val>
          <c:extLst>
            <c:ext xmlns:c16="http://schemas.microsoft.com/office/drawing/2014/chart" uri="{C3380CC4-5D6E-409C-BE32-E72D297353CC}">
              <c16:uniqueId val="{00000002-BB22-294B-813C-B210FA5CB7ED}"/>
            </c:ext>
          </c:extLst>
        </c:ser>
        <c:dLbls>
          <c:showLegendKey val="0"/>
          <c:showVal val="0"/>
          <c:showCatName val="0"/>
          <c:showSerName val="0"/>
          <c:showPercent val="0"/>
          <c:showBubbleSize val="0"/>
        </c:dLbls>
        <c:gapWidth val="100"/>
        <c:overlap val="-24"/>
        <c:axId val="719929167"/>
        <c:axId val="719930895"/>
      </c:barChart>
      <c:catAx>
        <c:axId val="71992916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19930895"/>
        <c:crosses val="autoZero"/>
        <c:auto val="1"/>
        <c:lblAlgn val="ctr"/>
        <c:lblOffset val="100"/>
        <c:noMultiLvlLbl val="0"/>
      </c:catAx>
      <c:valAx>
        <c:axId val="71993089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19929167"/>
        <c:crosses val="autoZero"/>
        <c:crossBetween val="between"/>
      </c:valAx>
      <c:spPr>
        <a:noFill/>
        <a:ln>
          <a:noFill/>
        </a:ln>
        <a:effectLst/>
      </c:spPr>
    </c:plotArea>
    <c:legend>
      <c:legendPos val="b"/>
      <c:layout>
        <c:manualLayout>
          <c:xMode val="edge"/>
          <c:yMode val="edge"/>
          <c:x val="0.34967113315077247"/>
          <c:y val="0.92629773187792463"/>
          <c:w val="0.30330444518106042"/>
          <c:h val="4.796374571592704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23812</xdr:colOff>
      <xdr:row>108</xdr:row>
      <xdr:rowOff>1588</xdr:rowOff>
    </xdr:from>
    <xdr:to>
      <xdr:col>20</xdr:col>
      <xdr:colOff>1603374</xdr:colOff>
      <xdr:row>132</xdr:row>
      <xdr:rowOff>15875</xdr:rowOff>
    </xdr:to>
    <xdr:graphicFrame macro="">
      <xdr:nvGraphicFramePr>
        <xdr:cNvPr id="2" name="Chart 1">
          <a:extLst>
            <a:ext uri="{FF2B5EF4-FFF2-40B4-BE49-F238E27FC236}">
              <a16:creationId xmlns:a16="http://schemas.microsoft.com/office/drawing/2014/main" id="{88864F5C-5C1D-3C68-0366-884B08C392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https://www.bing.com/financeapi/forcetrigger?t=a1zm3m&amp;q=XNAS%3aPCTY&amp;form=skydnc</v>
    <v>Learn more on Bing</v>
  </rv>
  <rv s="1">
    <v>0</v>
    <v>PAYLOCITY HOLDING CORPORATION (XNAS:PCTY)</v>
    <v>2</v>
    <v>3</v>
    <v>Finance</v>
    <v>4</v>
    <v>en-US</v>
    <v>a1zm3m</v>
    <v>268435456</v>
    <v>1</v>
    <v>Powered by Refinitiv</v>
    <v>276.88</v>
    <v>152.01</v>
    <v>1.0879000000000001</v>
    <v>-3.97</v>
    <v>-2.2875E-2</v>
    <v>2.9</v>
    <v>1.7100999999999998E-2</v>
    <v>USD</v>
    <v>Paylocity Holding Corporation is a cloud-based provider of payroll and human capital management (HCM) software solutions. The Company's services are provided in a Software-as-a-Service (SaaS) delivery model utilizing its cloud-based platform. The Company's product suite comprises of payroll, human capital management, workforce management, talent management, benefits, employee experiences, implementation and training services, insights and recommendations and tax and regulatory services, that delivers a unified platform. Its cloud-based platform provides a unified suite of modules using a multi-tenant architecture. Its platform provides self-service functionality for employees and managers combined with integration across all its solutions. The Company's platform also offers an automated data integration with third-party partner systems, which includes 401(k), benefits and insurance provider systems.</v>
    <v>5300</v>
    <v>Nasdaq Stock Market</v>
    <v>XNAS</v>
    <v>XNAS</v>
    <v>1400 American Ln, SCHAUMBURG, IL, 60173-5452 US</v>
    <v>173.375</v>
    <v>Software &amp; IT Services</v>
    <v>Stock</v>
    <v>45055.88588778906</v>
    <v>0</v>
    <v>167.4</v>
    <v>9465024605</v>
    <v>PAYLOCITY HOLDING CORPORATION</v>
    <v>PAYLOCITY HOLDING CORPORATION</v>
    <v>172.13</v>
    <v>82.687700000000007</v>
    <v>173.55</v>
    <v>169.58</v>
    <v>172.48</v>
    <v>55814510</v>
    <v>PCTY</v>
    <v>PAYLOCITY HOLDING CORPORATION (XNAS:PCTY)</v>
    <v>976023</v>
    <v>420923</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91698/000110465914062738/0001104659-14-062738-index.html" TargetMode="External"/><Relationship Id="rId13" Type="http://schemas.openxmlformats.org/officeDocument/2006/relationships/hyperlink" Target="https://www.sec.gov/Archives/edgar/data/1591698/000110465916139345/a16-12777_110k.htm" TargetMode="External"/><Relationship Id="rId18" Type="http://schemas.openxmlformats.org/officeDocument/2006/relationships/hyperlink" Target="https://www.sec.gov/Archives/edgar/data/1591698/000155837019007859/0001558370-19-007859-index.html" TargetMode="External"/><Relationship Id="rId26" Type="http://schemas.openxmlformats.org/officeDocument/2006/relationships/hyperlink" Target="https://finbox.com/NASDAQGS:PCTY/explorer/revenue_proj"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591698/000155837020009960/0001558370-20-009960-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91698/000110465916139345/a16-12777_110k.htm" TargetMode="External"/><Relationship Id="rId17" Type="http://schemas.openxmlformats.org/officeDocument/2006/relationships/hyperlink" Target="https://www.sec.gov/Archives/edgar/data/1591698/000155837018006955/0001558370-18-006955-index.html" TargetMode="External"/><Relationship Id="rId25" Type="http://schemas.openxmlformats.org/officeDocument/2006/relationships/hyperlink" Target="https://www.sec.gov/Archives/edgar/data/1591698/000159169822000094/0001591698-22-000094-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91698/000155837018006955/0001558370-18-006955-index.html" TargetMode="External"/><Relationship Id="rId20" Type="http://schemas.openxmlformats.org/officeDocument/2006/relationships/hyperlink" Target="https://www.sec.gov/Archives/edgar/data/1591698/000155837020009960/0001558370-20-009960-index.htm" TargetMode="External"/><Relationship Id="rId1" Type="http://schemas.openxmlformats.org/officeDocument/2006/relationships/hyperlink" Target="https://roic.ai/company/PCTY"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91698/000110465915060024/0001104659-15-060024-index.html" TargetMode="External"/><Relationship Id="rId24" Type="http://schemas.openxmlformats.org/officeDocument/2006/relationships/hyperlink" Target="https://www.sec.gov/Archives/edgar/data/1591698/000159169822000094/0001591698-22-000094-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91698/000155837017006561/0001558370-17-006561-index.html" TargetMode="External"/><Relationship Id="rId23" Type="http://schemas.openxmlformats.org/officeDocument/2006/relationships/hyperlink" Target="https://www.sec.gov/Archives/edgar/data/1591698/000155837021010711/0001558370-21-010711-index.htm" TargetMode="External"/><Relationship Id="rId10" Type="http://schemas.openxmlformats.org/officeDocument/2006/relationships/hyperlink" Target="https://www.sec.gov/Archives/edgar/data/1591698/000110465915060024/0001104659-15-060024-index.html" TargetMode="External"/><Relationship Id="rId19" Type="http://schemas.openxmlformats.org/officeDocument/2006/relationships/hyperlink" Target="https://www.sec.gov/Archives/edgar/data/1591698/000155837019007859/0001558370-19-007859-index.html"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91698/000110465914062738/0001104659-14-062738-index.html" TargetMode="External"/><Relationship Id="rId14" Type="http://schemas.openxmlformats.org/officeDocument/2006/relationships/hyperlink" Target="https://www.sec.gov/Archives/edgar/data/1591698/000155837017006561/0001558370-17-006561-index.html" TargetMode="External"/><Relationship Id="rId22" Type="http://schemas.openxmlformats.org/officeDocument/2006/relationships/hyperlink" Target="https://www.sec.gov/Archives/edgar/data/1591698/000155837021010711/0001558370-21-010711-index.htm"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8"/>
  <sheetViews>
    <sheetView tabSelected="1" zoomScale="80" zoomScaleNormal="80" workbookViewId="0">
      <pane xSplit="1" ySplit="1" topLeftCell="L88" activePane="bottomRight" state="frozen"/>
      <selection pane="topRight"/>
      <selection pane="bottomLeft"/>
      <selection pane="bottomRight" activeCell="O102" sqref="O102"/>
    </sheetView>
  </sheetViews>
  <sheetFormatPr baseColWidth="10" defaultRowHeight="16" x14ac:dyDescent="0.2"/>
  <cols>
    <col min="1" max="1" width="50" customWidth="1"/>
    <col min="2" max="13" width="15" customWidth="1"/>
    <col min="14" max="22" width="21" customWidth="1"/>
  </cols>
  <sheetData>
    <row r="1" spans="1:22"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27">
        <v>2023</v>
      </c>
      <c r="O1" s="27">
        <v>2024</v>
      </c>
      <c r="P1" s="27">
        <v>2025</v>
      </c>
      <c r="Q1" s="27">
        <v>2026</v>
      </c>
      <c r="R1" s="27">
        <v>2027</v>
      </c>
    </row>
    <row r="2" spans="1:2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c r="R2" s="9"/>
      <c r="S2" s="9"/>
      <c r="T2" s="9"/>
      <c r="U2" s="9"/>
    </row>
    <row r="3" spans="1:22" ht="40" x14ac:dyDescent="0.25">
      <c r="A3" s="5" t="s">
        <v>1</v>
      </c>
      <c r="B3" s="1">
        <v>39484000</v>
      </c>
      <c r="C3" s="1">
        <v>55096000</v>
      </c>
      <c r="D3" s="1">
        <v>77294000</v>
      </c>
      <c r="E3" s="1">
        <v>108687000</v>
      </c>
      <c r="F3" s="1">
        <v>152698000</v>
      </c>
      <c r="G3" s="1">
        <v>230701000</v>
      </c>
      <c r="H3" s="1">
        <v>300010000</v>
      </c>
      <c r="I3" s="1">
        <v>377527000</v>
      </c>
      <c r="J3" s="1">
        <v>467633000</v>
      </c>
      <c r="K3" s="1">
        <v>561329000</v>
      </c>
      <c r="L3" s="1">
        <v>635627000</v>
      </c>
      <c r="M3" s="1">
        <v>852651000</v>
      </c>
      <c r="N3" s="28">
        <v>1159000000</v>
      </c>
      <c r="O3" s="28">
        <v>1421000000</v>
      </c>
      <c r="P3" s="28">
        <v>1693000000</v>
      </c>
      <c r="Q3" s="28">
        <v>1951000000</v>
      </c>
      <c r="R3" s="28">
        <v>2268000000</v>
      </c>
      <c r="S3" s="18" t="s">
        <v>109</v>
      </c>
      <c r="T3" s="19" t="s">
        <v>110</v>
      </c>
      <c r="U3" s="19" t="s">
        <v>111</v>
      </c>
      <c r="V3" s="19" t="s">
        <v>156</v>
      </c>
    </row>
    <row r="4" spans="1:22" ht="19" x14ac:dyDescent="0.25">
      <c r="A4" s="14" t="s">
        <v>94</v>
      </c>
      <c r="B4" s="1"/>
      <c r="C4" s="15">
        <f>(C3/B3)-1</f>
        <v>0.39540066862526602</v>
      </c>
      <c r="D4" s="15">
        <f>(D3/C3)-1</f>
        <v>0.40289676201539137</v>
      </c>
      <c r="E4" s="15">
        <f>(E3/D3)-1</f>
        <v>0.40615054208606094</v>
      </c>
      <c r="F4" s="15">
        <f t="shared" ref="F4:R4" si="0">(F3/E3)-1</f>
        <v>0.40493343270124305</v>
      </c>
      <c r="G4" s="15">
        <f t="shared" si="0"/>
        <v>0.51083183800704668</v>
      </c>
      <c r="H4" s="16">
        <f t="shared" si="0"/>
        <v>0.30042782649403343</v>
      </c>
      <c r="I4" s="16">
        <f t="shared" si="0"/>
        <v>0.25838138728709037</v>
      </c>
      <c r="J4" s="16">
        <f t="shared" si="0"/>
        <v>0.23867431998241195</v>
      </c>
      <c r="K4" s="16">
        <f t="shared" si="0"/>
        <v>0.20036224988399032</v>
      </c>
      <c r="L4" s="16">
        <f t="shared" si="0"/>
        <v>0.1323608792704456</v>
      </c>
      <c r="M4" s="16">
        <f t="shared" si="0"/>
        <v>0.34143294731029372</v>
      </c>
      <c r="N4" s="16">
        <f t="shared" si="0"/>
        <v>0.35929002604817217</v>
      </c>
      <c r="O4" s="16">
        <f t="shared" si="0"/>
        <v>0.22605694564279544</v>
      </c>
      <c r="P4" s="16">
        <f t="shared" si="0"/>
        <v>0.1914144968332161</v>
      </c>
      <c r="Q4" s="16">
        <f t="shared" si="0"/>
        <v>0.15239220318960434</v>
      </c>
      <c r="R4" s="16">
        <f t="shared" si="0"/>
        <v>0.16248077908764746</v>
      </c>
      <c r="S4" s="17">
        <f>(M4+L4+K4)/3</f>
        <v>0.22471869215490989</v>
      </c>
      <c r="T4" s="17">
        <f>(M20+L20+K20)/3</f>
        <v>0.14135960519804081</v>
      </c>
      <c r="U4" s="17">
        <f>(M29+L29+K29)/3</f>
        <v>0.19269631588327826</v>
      </c>
      <c r="V4" s="17">
        <f>(M105+L105+K105)/3</f>
        <v>8.5228617387118247E-2</v>
      </c>
    </row>
    <row r="5" spans="1:22" ht="19" x14ac:dyDescent="0.25">
      <c r="A5" s="5" t="s">
        <v>2</v>
      </c>
      <c r="B5" s="1">
        <v>21745000</v>
      </c>
      <c r="C5" s="1">
        <v>29094000</v>
      </c>
      <c r="D5" s="1">
        <v>39666000</v>
      </c>
      <c r="E5" s="1">
        <v>55094000</v>
      </c>
      <c r="F5" s="1">
        <v>70896000</v>
      </c>
      <c r="G5" s="1">
        <v>98085000</v>
      </c>
      <c r="H5" s="1">
        <v>123987000</v>
      </c>
      <c r="I5" s="1">
        <v>149197000</v>
      </c>
      <c r="J5" s="1">
        <v>153851000</v>
      </c>
      <c r="K5" s="1">
        <v>182010000</v>
      </c>
      <c r="L5" s="1">
        <v>219298000</v>
      </c>
      <c r="M5" s="1">
        <v>287002000</v>
      </c>
    </row>
    <row r="6" spans="1:22" ht="20" x14ac:dyDescent="0.25">
      <c r="A6" s="6" t="s">
        <v>3</v>
      </c>
      <c r="B6" s="10">
        <v>17739000</v>
      </c>
      <c r="C6" s="10">
        <v>26002000</v>
      </c>
      <c r="D6" s="10">
        <v>37628000</v>
      </c>
      <c r="E6" s="10">
        <v>53593000</v>
      </c>
      <c r="F6" s="10">
        <v>81802000</v>
      </c>
      <c r="G6" s="10">
        <v>132616000</v>
      </c>
      <c r="H6" s="10">
        <v>176023000</v>
      </c>
      <c r="I6" s="10">
        <v>228330000</v>
      </c>
      <c r="J6" s="10">
        <v>313782000</v>
      </c>
      <c r="K6" s="10">
        <v>379319000</v>
      </c>
      <c r="L6" s="10">
        <v>416329000</v>
      </c>
      <c r="M6" s="10">
        <v>565649000</v>
      </c>
      <c r="S6" s="18" t="s">
        <v>112</v>
      </c>
      <c r="T6" s="19" t="s">
        <v>113</v>
      </c>
      <c r="U6" s="19" t="s">
        <v>114</v>
      </c>
      <c r="V6" s="19" t="s">
        <v>157</v>
      </c>
    </row>
    <row r="7" spans="1:22" ht="19" x14ac:dyDescent="0.25">
      <c r="A7" s="5" t="s">
        <v>4</v>
      </c>
      <c r="B7" s="2">
        <v>0.44929999999999998</v>
      </c>
      <c r="C7" s="2">
        <v>0.47189999999999999</v>
      </c>
      <c r="D7" s="2">
        <v>0.48680000000000001</v>
      </c>
      <c r="E7" s="2">
        <v>0.49309999999999998</v>
      </c>
      <c r="F7" s="2">
        <v>0.53569999999999995</v>
      </c>
      <c r="G7" s="2">
        <v>0.57479999999999998</v>
      </c>
      <c r="H7" s="2">
        <v>0.5867</v>
      </c>
      <c r="I7" s="2">
        <v>0.6048</v>
      </c>
      <c r="J7" s="2">
        <v>0.67100000000000004</v>
      </c>
      <c r="K7" s="2">
        <v>0.67579999999999996</v>
      </c>
      <c r="L7" s="2">
        <v>0.65500000000000003</v>
      </c>
      <c r="M7" s="2">
        <v>0.66339999999999999</v>
      </c>
      <c r="S7" s="17">
        <f>M7</f>
        <v>0.66339999999999999</v>
      </c>
      <c r="T7" s="20">
        <f>M21</f>
        <v>0.15690000000000001</v>
      </c>
      <c r="U7" s="20">
        <f>M30</f>
        <v>0.1065</v>
      </c>
      <c r="V7" s="20">
        <f>M106/M3</f>
        <v>0.12017695399407261</v>
      </c>
    </row>
    <row r="8" spans="1:22" ht="19" x14ac:dyDescent="0.25">
      <c r="A8" s="5" t="s">
        <v>5</v>
      </c>
      <c r="B8" s="1">
        <v>1565000</v>
      </c>
      <c r="C8" s="1">
        <v>1788000</v>
      </c>
      <c r="D8" s="1">
        <v>6825000</v>
      </c>
      <c r="E8" s="1">
        <v>10355000</v>
      </c>
      <c r="F8" s="1">
        <v>19864000</v>
      </c>
      <c r="G8" s="1">
        <v>26736000</v>
      </c>
      <c r="H8" s="1">
        <v>29098000</v>
      </c>
      <c r="I8" s="1">
        <v>37645000</v>
      </c>
      <c r="J8" s="1">
        <v>50329000</v>
      </c>
      <c r="K8" s="1">
        <v>62766000</v>
      </c>
      <c r="L8" s="1">
        <v>76707000</v>
      </c>
      <c r="M8" s="1">
        <v>102908000</v>
      </c>
    </row>
    <row r="9" spans="1:22" ht="19" customHeight="1" x14ac:dyDescent="0.25">
      <c r="A9" s="14" t="s">
        <v>95</v>
      </c>
      <c r="B9" s="15">
        <f>B8/B3</f>
        <v>3.9636308378077197E-2</v>
      </c>
      <c r="C9" s="15">
        <f t="shared" ref="C9:M9" si="1">C8/C3</f>
        <v>3.2452446638594451E-2</v>
      </c>
      <c r="D9" s="15">
        <f t="shared" si="1"/>
        <v>8.8299221155587762E-2</v>
      </c>
      <c r="E9" s="15">
        <f t="shared" si="1"/>
        <v>9.5273583777268675E-2</v>
      </c>
      <c r="F9" s="15">
        <f t="shared" si="1"/>
        <v>0.13008683807253532</v>
      </c>
      <c r="G9" s="15">
        <f t="shared" si="1"/>
        <v>0.11589026488831865</v>
      </c>
      <c r="H9" s="15">
        <f t="shared" si="1"/>
        <v>9.6990100329989004E-2</v>
      </c>
      <c r="I9" s="15">
        <f t="shared" si="1"/>
        <v>9.9714722390716423E-2</v>
      </c>
      <c r="J9" s="15">
        <f t="shared" si="1"/>
        <v>0.10762499652505277</v>
      </c>
      <c r="K9" s="15">
        <f t="shared" si="1"/>
        <v>0.11181677768296311</v>
      </c>
      <c r="L9" s="15">
        <f t="shared" si="1"/>
        <v>0.12067926629926042</v>
      </c>
      <c r="M9" s="15">
        <f t="shared" si="1"/>
        <v>0.12069181880980612</v>
      </c>
      <c r="S9" s="18" t="s">
        <v>96</v>
      </c>
      <c r="T9" s="19" t="s">
        <v>97</v>
      </c>
      <c r="U9" s="19" t="s">
        <v>98</v>
      </c>
      <c r="V9" s="19" t="s">
        <v>99</v>
      </c>
    </row>
    <row r="10" spans="1:22" ht="19" x14ac:dyDescent="0.25">
      <c r="A10" s="5" t="s">
        <v>6</v>
      </c>
      <c r="B10" s="1">
        <v>6868000</v>
      </c>
      <c r="C10" s="1">
        <v>8618000</v>
      </c>
      <c r="D10" s="1">
        <v>12079000</v>
      </c>
      <c r="E10" s="1">
        <v>21980000</v>
      </c>
      <c r="F10" s="1">
        <v>32824000</v>
      </c>
      <c r="G10" s="1">
        <v>47598000</v>
      </c>
      <c r="H10" s="1">
        <v>62123000</v>
      </c>
      <c r="I10" s="1">
        <v>79252000</v>
      </c>
      <c r="J10" s="1">
        <v>94630000</v>
      </c>
      <c r="K10" s="1">
        <v>105248000</v>
      </c>
      <c r="L10" s="1">
        <v>119771000</v>
      </c>
      <c r="M10" s="1">
        <v>163692000</v>
      </c>
      <c r="S10" s="17">
        <f>M9</f>
        <v>0.12069181880980612</v>
      </c>
      <c r="T10" s="20">
        <f>M13</f>
        <v>0.44349563889563254</v>
      </c>
      <c r="U10" s="20">
        <f>M80</f>
        <v>0.11282693622595881</v>
      </c>
      <c r="V10" s="20">
        <f>M89</f>
        <v>2.1191554340521501E-2</v>
      </c>
    </row>
    <row r="11" spans="1:22" ht="19" x14ac:dyDescent="0.25">
      <c r="A11" s="5" t="s">
        <v>7</v>
      </c>
      <c r="B11" s="1">
        <v>9293000</v>
      </c>
      <c r="C11" s="1">
        <v>12828000</v>
      </c>
      <c r="D11" s="1">
        <v>18693000</v>
      </c>
      <c r="E11" s="1">
        <v>28276000</v>
      </c>
      <c r="F11" s="1">
        <v>43035000</v>
      </c>
      <c r="G11" s="1">
        <v>61832000</v>
      </c>
      <c r="H11" s="1">
        <v>77506000</v>
      </c>
      <c r="I11" s="1">
        <v>95484000</v>
      </c>
      <c r="J11" s="1">
        <v>112599000</v>
      </c>
      <c r="K11" s="1">
        <v>145134000</v>
      </c>
      <c r="L11" s="1">
        <v>161808000</v>
      </c>
      <c r="M11" s="1">
        <v>214455000</v>
      </c>
    </row>
    <row r="12" spans="1:22" ht="20" x14ac:dyDescent="0.25">
      <c r="A12" s="5" t="s">
        <v>8</v>
      </c>
      <c r="B12" s="1">
        <v>16161000</v>
      </c>
      <c r="C12" s="1">
        <v>21446000</v>
      </c>
      <c r="D12" s="1">
        <v>30772000</v>
      </c>
      <c r="E12" s="1">
        <v>50256000</v>
      </c>
      <c r="F12" s="1">
        <v>75859000</v>
      </c>
      <c r="G12" s="1">
        <v>109430000</v>
      </c>
      <c r="H12" s="1">
        <v>139629000</v>
      </c>
      <c r="I12" s="1">
        <v>174736000</v>
      </c>
      <c r="J12" s="1">
        <v>207229000</v>
      </c>
      <c r="K12" s="1">
        <v>250382000</v>
      </c>
      <c r="L12" s="1">
        <v>281579000</v>
      </c>
      <c r="M12" s="1">
        <v>378147000</v>
      </c>
      <c r="S12" s="18" t="s">
        <v>115</v>
      </c>
      <c r="T12" s="19" t="s">
        <v>116</v>
      </c>
      <c r="U12" s="19" t="s">
        <v>117</v>
      </c>
      <c r="V12" s="19" t="s">
        <v>158</v>
      </c>
    </row>
    <row r="13" spans="1:22" ht="19" x14ac:dyDescent="0.25">
      <c r="A13" s="14" t="s">
        <v>100</v>
      </c>
      <c r="B13" s="15">
        <f>B12/B3</f>
        <v>0.40930503495086618</v>
      </c>
      <c r="C13" s="15">
        <f t="shared" ref="C13:M13" si="2">C12/C3</f>
        <v>0.38924785828372294</v>
      </c>
      <c r="D13" s="15">
        <f t="shared" si="2"/>
        <v>0.39811628328201415</v>
      </c>
      <c r="E13" s="15">
        <f t="shared" si="2"/>
        <v>0.46239200640370975</v>
      </c>
      <c r="F13" s="15">
        <f t="shared" si="2"/>
        <v>0.49679105161822684</v>
      </c>
      <c r="G13" s="15">
        <f t="shared" si="2"/>
        <v>0.47433691228039759</v>
      </c>
      <c r="H13" s="15">
        <f t="shared" si="2"/>
        <v>0.46541448618379389</v>
      </c>
      <c r="I13" s="15">
        <f t="shared" si="2"/>
        <v>0.46284371713811195</v>
      </c>
      <c r="J13" s="15">
        <f t="shared" si="2"/>
        <v>0.44314451717479303</v>
      </c>
      <c r="K13" s="15">
        <f t="shared" si="2"/>
        <v>0.44605213698205509</v>
      </c>
      <c r="L13" s="15">
        <f t="shared" si="2"/>
        <v>0.44299408300780174</v>
      </c>
      <c r="M13" s="15">
        <f t="shared" si="2"/>
        <v>0.44349563889563254</v>
      </c>
      <c r="S13" s="17">
        <f>M28/M72</f>
        <v>0.14797469448035172</v>
      </c>
      <c r="T13" s="20">
        <f>M28/M54</f>
        <v>1.8876426643798499E-2</v>
      </c>
      <c r="U13" s="20">
        <f>M22/(M72+M56+M61)</f>
        <v>0.12242594224732663</v>
      </c>
      <c r="V13" s="21">
        <f>M67/M72</f>
        <v>6.8391264020812992</v>
      </c>
    </row>
    <row r="14" spans="1:22"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row>
    <row r="15" spans="1:22" ht="20" x14ac:dyDescent="0.25">
      <c r="A15" s="5" t="s">
        <v>10</v>
      </c>
      <c r="B15" s="1">
        <v>17726000</v>
      </c>
      <c r="C15" s="1">
        <v>23234000</v>
      </c>
      <c r="D15" s="1">
        <v>37597000</v>
      </c>
      <c r="E15" s="1">
        <v>60611000</v>
      </c>
      <c r="F15" s="1">
        <v>95723000</v>
      </c>
      <c r="G15" s="1">
        <v>136166000</v>
      </c>
      <c r="H15" s="1">
        <v>168727000</v>
      </c>
      <c r="I15" s="1">
        <v>212381000</v>
      </c>
      <c r="J15" s="1">
        <v>257558000</v>
      </c>
      <c r="K15" s="1">
        <v>313148000</v>
      </c>
      <c r="L15" s="1">
        <v>358286000</v>
      </c>
      <c r="M15" s="1">
        <v>481055000</v>
      </c>
      <c r="S15" s="18" t="s">
        <v>118</v>
      </c>
      <c r="T15" s="19" t="s">
        <v>119</v>
      </c>
      <c r="U15" s="19" t="s">
        <v>120</v>
      </c>
      <c r="V15" s="19" t="s">
        <v>159</v>
      </c>
    </row>
    <row r="16" spans="1:22" ht="19" x14ac:dyDescent="0.25">
      <c r="A16" s="5" t="s">
        <v>11</v>
      </c>
      <c r="B16" s="1">
        <v>39471000</v>
      </c>
      <c r="C16" s="1">
        <v>52328000</v>
      </c>
      <c r="D16" s="1">
        <v>77263000</v>
      </c>
      <c r="E16" s="1">
        <v>115705000</v>
      </c>
      <c r="F16" s="1">
        <v>166619000</v>
      </c>
      <c r="G16" s="1">
        <v>234251000</v>
      </c>
      <c r="H16" s="1">
        <v>292714000</v>
      </c>
      <c r="I16" s="1">
        <v>361578000</v>
      </c>
      <c r="J16" s="1">
        <v>411409000</v>
      </c>
      <c r="K16" s="1">
        <v>495158000</v>
      </c>
      <c r="L16" s="1">
        <v>577584000</v>
      </c>
      <c r="M16" s="1">
        <v>768057000</v>
      </c>
      <c r="S16" s="29">
        <f>(M35+L35+K35+J35+I35)/5</f>
        <v>8.1942781039436238E-3</v>
      </c>
      <c r="T16" s="30">
        <f>U101/M3</f>
        <v>11.100701934320139</v>
      </c>
      <c r="U16" s="30">
        <f>U101/M28</f>
        <v>104.26677027220552</v>
      </c>
      <c r="V16" s="58">
        <f>U101/M106</f>
        <v>92.369639647112791</v>
      </c>
    </row>
    <row r="17" spans="1:19" ht="19" x14ac:dyDescent="0.25">
      <c r="A17" s="5" t="s">
        <v>12</v>
      </c>
      <c r="B17" s="1" t="s">
        <v>92</v>
      </c>
      <c r="C17" s="1" t="s">
        <v>92</v>
      </c>
      <c r="D17" s="1" t="s">
        <v>92</v>
      </c>
      <c r="E17" s="1" t="s">
        <v>92</v>
      </c>
      <c r="F17" s="1" t="s">
        <v>92</v>
      </c>
      <c r="G17" s="1" t="s">
        <v>92</v>
      </c>
      <c r="H17" s="1" t="s">
        <v>92</v>
      </c>
      <c r="I17" s="1" t="s">
        <v>92</v>
      </c>
      <c r="J17" s="1" t="s">
        <v>92</v>
      </c>
      <c r="K17" s="1" t="s">
        <v>92</v>
      </c>
      <c r="L17" s="1" t="s">
        <v>92</v>
      </c>
      <c r="M17" s="1">
        <v>0</v>
      </c>
    </row>
    <row r="18" spans="1:19" ht="20" x14ac:dyDescent="0.25">
      <c r="A18" s="5" t="s">
        <v>13</v>
      </c>
      <c r="B18" s="1">
        <v>3779000</v>
      </c>
      <c r="C18" s="1">
        <v>4624000</v>
      </c>
      <c r="D18" s="1">
        <v>5571000</v>
      </c>
      <c r="E18" s="1">
        <v>6336000</v>
      </c>
      <c r="F18" s="1">
        <v>8609000</v>
      </c>
      <c r="G18" s="1">
        <v>13873000</v>
      </c>
      <c r="H18" s="1">
        <v>21027000</v>
      </c>
      <c r="I18" s="1">
        <v>30202000</v>
      </c>
      <c r="J18" s="1">
        <v>34564000</v>
      </c>
      <c r="K18" s="1">
        <v>37913000</v>
      </c>
      <c r="L18" s="1">
        <v>42972000</v>
      </c>
      <c r="M18" s="1">
        <v>50218000</v>
      </c>
      <c r="S18" s="18" t="s">
        <v>121</v>
      </c>
    </row>
    <row r="19" spans="1:19" ht="19" x14ac:dyDescent="0.25">
      <c r="A19" s="6" t="s">
        <v>14</v>
      </c>
      <c r="B19" s="10">
        <v>3613000</v>
      </c>
      <c r="C19" s="10">
        <v>7196000</v>
      </c>
      <c r="D19" s="10">
        <v>5586000</v>
      </c>
      <c r="E19" s="10">
        <v>-519000</v>
      </c>
      <c r="F19" s="10">
        <v>-5258000</v>
      </c>
      <c r="G19" s="10">
        <v>10199000</v>
      </c>
      <c r="H19" s="10">
        <v>28396000</v>
      </c>
      <c r="I19" s="10">
        <v>46953000</v>
      </c>
      <c r="J19" s="10">
        <v>92610000</v>
      </c>
      <c r="K19" s="10">
        <v>105031000</v>
      </c>
      <c r="L19" s="10">
        <v>100076000</v>
      </c>
      <c r="M19" s="10">
        <v>133815000</v>
      </c>
      <c r="S19" s="31">
        <f>M40-M56-M61</f>
        <v>66694000</v>
      </c>
    </row>
    <row r="20" spans="1:19" ht="19" customHeight="1" x14ac:dyDescent="0.25">
      <c r="A20" s="14" t="s">
        <v>101</v>
      </c>
      <c r="B20" s="1"/>
      <c r="C20" s="15">
        <f>(C19/B19)-1</f>
        <v>0.99169665098256288</v>
      </c>
      <c r="D20" s="15">
        <f>(D19/C19)-1</f>
        <v>-0.22373540856031127</v>
      </c>
      <c r="E20" s="15">
        <f>(E19/D19)-1</f>
        <v>-1.0929108485499464</v>
      </c>
      <c r="F20" s="15">
        <f t="shared" ref="F20:M20" si="3">(F19/E19)-1</f>
        <v>9.1310211946050099</v>
      </c>
      <c r="G20" s="15">
        <f t="shared" si="3"/>
        <v>-2.9397109166983642</v>
      </c>
      <c r="H20" s="15">
        <f t="shared" si="3"/>
        <v>1.7841945288753798</v>
      </c>
      <c r="I20" s="15">
        <f t="shared" si="3"/>
        <v>0.65350753627271452</v>
      </c>
      <c r="J20" s="15">
        <f t="shared" si="3"/>
        <v>0.97239792984473827</v>
      </c>
      <c r="K20" s="15">
        <f t="shared" si="3"/>
        <v>0.13412158514199324</v>
      </c>
      <c r="L20" s="15">
        <f t="shared" si="3"/>
        <v>-4.717654787634129E-2</v>
      </c>
      <c r="M20" s="15">
        <f t="shared" si="3"/>
        <v>0.33713377832847047</v>
      </c>
    </row>
    <row r="21" spans="1:19" ht="19" x14ac:dyDescent="0.25">
      <c r="A21" s="5" t="s">
        <v>15</v>
      </c>
      <c r="B21" s="2">
        <v>9.1499999999999998E-2</v>
      </c>
      <c r="C21" s="2">
        <v>0.13059999999999999</v>
      </c>
      <c r="D21" s="2">
        <v>7.2300000000000003E-2</v>
      </c>
      <c r="E21" s="2">
        <v>-4.7999999999999996E-3</v>
      </c>
      <c r="F21" s="2">
        <v>-3.44E-2</v>
      </c>
      <c r="G21" s="2">
        <v>4.4200000000000003E-2</v>
      </c>
      <c r="H21" s="2">
        <v>9.4700000000000006E-2</v>
      </c>
      <c r="I21" s="2">
        <v>0.1244</v>
      </c>
      <c r="J21" s="2">
        <v>0.19800000000000001</v>
      </c>
      <c r="K21" s="2">
        <v>0.18709999999999999</v>
      </c>
      <c r="L21" s="2">
        <v>0.15740000000000001</v>
      </c>
      <c r="M21" s="2">
        <v>0.15690000000000001</v>
      </c>
    </row>
    <row r="22" spans="1:19" ht="19" x14ac:dyDescent="0.25">
      <c r="A22" s="6" t="s">
        <v>16</v>
      </c>
      <c r="B22" s="10">
        <v>13000</v>
      </c>
      <c r="C22" s="10">
        <v>2768000</v>
      </c>
      <c r="D22" s="10">
        <v>31000</v>
      </c>
      <c r="E22" s="10">
        <v>-7018000</v>
      </c>
      <c r="F22" s="10">
        <v>-13921000</v>
      </c>
      <c r="G22" s="10">
        <v>-3550000</v>
      </c>
      <c r="H22" s="10">
        <v>7296000</v>
      </c>
      <c r="I22" s="10">
        <v>15949000</v>
      </c>
      <c r="J22" s="10">
        <v>56224000</v>
      </c>
      <c r="K22" s="10">
        <v>66171000</v>
      </c>
      <c r="L22" s="10">
        <v>58043000</v>
      </c>
      <c r="M22" s="10">
        <v>84594000</v>
      </c>
    </row>
    <row r="23" spans="1:19" ht="19" x14ac:dyDescent="0.25">
      <c r="A23" s="5" t="s">
        <v>17</v>
      </c>
      <c r="B23" s="2">
        <v>2.9999999999999997E-4</v>
      </c>
      <c r="C23" s="2">
        <v>5.0200000000000002E-2</v>
      </c>
      <c r="D23" s="2">
        <v>4.0000000000000002E-4</v>
      </c>
      <c r="E23" s="2">
        <v>-6.4600000000000005E-2</v>
      </c>
      <c r="F23" s="2">
        <v>-9.1200000000000003E-2</v>
      </c>
      <c r="G23" s="2">
        <v>-1.54E-2</v>
      </c>
      <c r="H23" s="2">
        <v>2.4299999999999999E-2</v>
      </c>
      <c r="I23" s="2">
        <v>4.2200000000000001E-2</v>
      </c>
      <c r="J23" s="2">
        <v>0.1202</v>
      </c>
      <c r="K23" s="2">
        <v>0.1179</v>
      </c>
      <c r="L23" s="2">
        <v>9.1300000000000006E-2</v>
      </c>
      <c r="M23" s="2">
        <v>9.9199999999999997E-2</v>
      </c>
    </row>
    <row r="24" spans="1:19" ht="19" x14ac:dyDescent="0.25">
      <c r="A24" s="5" t="s">
        <v>18</v>
      </c>
      <c r="B24" s="1">
        <v>-179000</v>
      </c>
      <c r="C24" s="1">
        <v>-196000</v>
      </c>
      <c r="D24" s="1">
        <v>-16000</v>
      </c>
      <c r="E24" s="1">
        <v>163000</v>
      </c>
      <c r="F24" s="1">
        <v>54000</v>
      </c>
      <c r="G24" s="1">
        <v>-124000</v>
      </c>
      <c r="H24" s="1">
        <v>73000</v>
      </c>
      <c r="I24" s="1">
        <v>802000</v>
      </c>
      <c r="J24" s="1">
        <v>1822000</v>
      </c>
      <c r="K24" s="1">
        <v>947000</v>
      </c>
      <c r="L24" s="1">
        <v>-939000</v>
      </c>
      <c r="M24" s="1">
        <v>-997000</v>
      </c>
    </row>
    <row r="25" spans="1:19" ht="19" x14ac:dyDescent="0.25">
      <c r="A25" s="6" t="s">
        <v>19</v>
      </c>
      <c r="B25" s="10">
        <v>-166000</v>
      </c>
      <c r="C25" s="10">
        <v>2572000</v>
      </c>
      <c r="D25" s="10">
        <v>15000</v>
      </c>
      <c r="E25" s="10">
        <v>-6855000</v>
      </c>
      <c r="F25" s="10">
        <v>-13867000</v>
      </c>
      <c r="G25" s="10">
        <v>-3674000</v>
      </c>
      <c r="H25" s="10">
        <v>7369000</v>
      </c>
      <c r="I25" s="10">
        <v>16751000</v>
      </c>
      <c r="J25" s="10">
        <v>58046000</v>
      </c>
      <c r="K25" s="10">
        <v>67118000</v>
      </c>
      <c r="L25" s="10">
        <v>57104000</v>
      </c>
      <c r="M25" s="10">
        <v>83597000</v>
      </c>
    </row>
    <row r="26" spans="1:19" ht="19" x14ac:dyDescent="0.25">
      <c r="A26" s="5" t="s">
        <v>20</v>
      </c>
      <c r="B26" s="2">
        <v>-4.1999999999999997E-3</v>
      </c>
      <c r="C26" s="2">
        <v>4.6699999999999998E-2</v>
      </c>
      <c r="D26" s="2">
        <v>2.0000000000000001E-4</v>
      </c>
      <c r="E26" s="2">
        <v>-6.3100000000000003E-2</v>
      </c>
      <c r="F26" s="2">
        <v>-9.0800000000000006E-2</v>
      </c>
      <c r="G26" s="2">
        <v>-1.5900000000000001E-2</v>
      </c>
      <c r="H26" s="2">
        <v>2.46E-2</v>
      </c>
      <c r="I26" s="2">
        <v>4.4400000000000002E-2</v>
      </c>
      <c r="J26" s="2">
        <v>0.1241</v>
      </c>
      <c r="K26" s="2">
        <v>0.1196</v>
      </c>
      <c r="L26" s="2">
        <v>8.9800000000000005E-2</v>
      </c>
      <c r="M26" s="2">
        <v>9.8000000000000004E-2</v>
      </c>
    </row>
    <row r="27" spans="1:19" ht="19" x14ac:dyDescent="0.25">
      <c r="A27" s="5" t="s">
        <v>21</v>
      </c>
      <c r="B27" s="1">
        <v>-36000</v>
      </c>
      <c r="C27" s="1">
        <v>884000</v>
      </c>
      <c r="D27" s="1">
        <v>-602000</v>
      </c>
      <c r="E27" s="1">
        <v>255000</v>
      </c>
      <c r="F27" s="1">
        <v>105000</v>
      </c>
      <c r="G27" s="1">
        <v>177000</v>
      </c>
      <c r="H27" s="1">
        <v>651000</v>
      </c>
      <c r="I27" s="1">
        <v>-21847000</v>
      </c>
      <c r="J27" s="1">
        <v>4223000</v>
      </c>
      <c r="K27" s="1">
        <v>2663000</v>
      </c>
      <c r="L27" s="1">
        <v>-13715000</v>
      </c>
      <c r="M27" s="1">
        <v>-7180000</v>
      </c>
    </row>
    <row r="28" spans="1:19" ht="20" thickBot="1" x14ac:dyDescent="0.3">
      <c r="A28" s="7" t="s">
        <v>22</v>
      </c>
      <c r="B28" s="11">
        <v>-130000</v>
      </c>
      <c r="C28" s="11">
        <v>1688000</v>
      </c>
      <c r="D28" s="11">
        <v>617000</v>
      </c>
      <c r="E28" s="11">
        <v>-7110000</v>
      </c>
      <c r="F28" s="11">
        <v>-13972000</v>
      </c>
      <c r="G28" s="11">
        <v>-3851000</v>
      </c>
      <c r="H28" s="11">
        <v>6718000</v>
      </c>
      <c r="I28" s="11">
        <v>38598000</v>
      </c>
      <c r="J28" s="11">
        <v>53823000</v>
      </c>
      <c r="K28" s="11">
        <v>64455000</v>
      </c>
      <c r="L28" s="11">
        <v>70819000</v>
      </c>
      <c r="M28" s="11">
        <v>90777000</v>
      </c>
    </row>
    <row r="29" spans="1:19" ht="20" customHeight="1" thickTop="1" x14ac:dyDescent="0.25">
      <c r="A29" s="14" t="s">
        <v>102</v>
      </c>
      <c r="B29" s="1"/>
      <c r="C29" s="15">
        <f>(C28/B28)-1</f>
        <v>-13.984615384615385</v>
      </c>
      <c r="D29" s="15">
        <f>(D28/C28)-1</f>
        <v>-0.63447867298578198</v>
      </c>
      <c r="E29" s="15">
        <f>(E28/D28)-1</f>
        <v>-12.523500810372772</v>
      </c>
      <c r="F29" s="15">
        <f t="shared" ref="F29:M29" si="4">(F28/E28)-1</f>
        <v>0.96511954992967652</v>
      </c>
      <c r="G29" s="15">
        <f t="shared" si="4"/>
        <v>-0.72437732608073291</v>
      </c>
      <c r="H29" s="15">
        <f t="shared" si="4"/>
        <v>-2.7444819527395481</v>
      </c>
      <c r="I29" s="15">
        <f t="shared" si="4"/>
        <v>4.7454599583209287</v>
      </c>
      <c r="J29" s="15">
        <f t="shared" si="4"/>
        <v>0.39445048966267682</v>
      </c>
      <c r="K29" s="15">
        <f t="shared" si="4"/>
        <v>0.19753636921018902</v>
      </c>
      <c r="L29" s="15">
        <f t="shared" si="4"/>
        <v>9.873555193545891E-2</v>
      </c>
      <c r="M29" s="15">
        <f t="shared" si="4"/>
        <v>0.28181702650418683</v>
      </c>
    </row>
    <row r="30" spans="1:19" ht="19" x14ac:dyDescent="0.25">
      <c r="A30" s="5" t="s">
        <v>23</v>
      </c>
      <c r="B30" s="2">
        <v>-3.3E-3</v>
      </c>
      <c r="C30" s="2">
        <v>3.0599999999999999E-2</v>
      </c>
      <c r="D30" s="2">
        <v>8.0000000000000002E-3</v>
      </c>
      <c r="E30" s="2">
        <v>-6.54E-2</v>
      </c>
      <c r="F30" s="2">
        <v>-9.1499999999999998E-2</v>
      </c>
      <c r="G30" s="2">
        <v>-1.67E-2</v>
      </c>
      <c r="H30" s="2">
        <v>2.24E-2</v>
      </c>
      <c r="I30" s="2">
        <v>0.1022</v>
      </c>
      <c r="J30" s="2">
        <v>0.11509999999999999</v>
      </c>
      <c r="K30" s="2">
        <v>0.1148</v>
      </c>
      <c r="L30" s="2">
        <v>0.1114</v>
      </c>
      <c r="M30" s="2">
        <v>0.1065</v>
      </c>
    </row>
    <row r="31" spans="1:19" ht="19" x14ac:dyDescent="0.25">
      <c r="A31" s="5" t="s">
        <v>24</v>
      </c>
      <c r="B31" s="12" t="s">
        <v>91</v>
      </c>
      <c r="C31" s="12">
        <v>0.02</v>
      </c>
      <c r="D31" s="12">
        <v>0.01</v>
      </c>
      <c r="E31" s="12">
        <v>-0.19</v>
      </c>
      <c r="F31" s="12">
        <v>-0.28000000000000003</v>
      </c>
      <c r="G31" s="12">
        <v>-0.08</v>
      </c>
      <c r="H31" s="12">
        <v>0.13</v>
      </c>
      <c r="I31" s="12">
        <v>0.74</v>
      </c>
      <c r="J31" s="12">
        <v>1.02</v>
      </c>
      <c r="K31" s="12">
        <v>1.2</v>
      </c>
      <c r="L31" s="12">
        <v>1.3</v>
      </c>
      <c r="M31" s="12">
        <v>1.65</v>
      </c>
    </row>
    <row r="32" spans="1:19" ht="19" x14ac:dyDescent="0.25">
      <c r="A32" s="5" t="s">
        <v>25</v>
      </c>
      <c r="B32" s="12" t="s">
        <v>91</v>
      </c>
      <c r="C32" s="12">
        <v>0.02</v>
      </c>
      <c r="D32" s="12">
        <v>0.01</v>
      </c>
      <c r="E32" s="12">
        <v>-0.19</v>
      </c>
      <c r="F32" s="12">
        <v>-0.28000000000000003</v>
      </c>
      <c r="G32" s="12">
        <v>-0.08</v>
      </c>
      <c r="H32" s="12">
        <v>0.12</v>
      </c>
      <c r="I32" s="12">
        <v>0.7</v>
      </c>
      <c r="J32" s="12">
        <v>0.97</v>
      </c>
      <c r="K32" s="12">
        <v>1.1499999999999999</v>
      </c>
      <c r="L32" s="12">
        <v>1.26</v>
      </c>
      <c r="M32" s="12">
        <v>1.61</v>
      </c>
    </row>
    <row r="33" spans="1:13" ht="19" x14ac:dyDescent="0.25">
      <c r="A33" s="5" t="s">
        <v>26</v>
      </c>
      <c r="B33" s="1">
        <v>44191000</v>
      </c>
      <c r="C33" s="1">
        <v>44191000</v>
      </c>
      <c r="D33" s="1">
        <v>44191000</v>
      </c>
      <c r="E33" s="1">
        <v>36707000</v>
      </c>
      <c r="F33" s="1">
        <v>50127000</v>
      </c>
      <c r="G33" s="1">
        <v>50913000</v>
      </c>
      <c r="H33" s="1">
        <v>51415000</v>
      </c>
      <c r="I33" s="1">
        <v>52425000</v>
      </c>
      <c r="J33" s="1">
        <v>52914000</v>
      </c>
      <c r="K33" s="1">
        <v>53547000</v>
      </c>
      <c r="L33" s="1">
        <v>54318000</v>
      </c>
      <c r="M33" s="1">
        <v>54318000</v>
      </c>
    </row>
    <row r="34" spans="1:13" ht="19" x14ac:dyDescent="0.25">
      <c r="A34" s="5" t="s">
        <v>27</v>
      </c>
      <c r="B34" s="1">
        <v>44191000</v>
      </c>
      <c r="C34" s="1">
        <v>44191000</v>
      </c>
      <c r="D34" s="1">
        <v>44191000</v>
      </c>
      <c r="E34" s="1">
        <v>36707000</v>
      </c>
      <c r="F34" s="1">
        <v>50127000</v>
      </c>
      <c r="G34" s="1">
        <v>50913000</v>
      </c>
      <c r="H34" s="1">
        <v>54057000</v>
      </c>
      <c r="I34" s="1">
        <v>54887000</v>
      </c>
      <c r="J34" s="1">
        <v>55414000</v>
      </c>
      <c r="K34" s="1">
        <v>55807000</v>
      </c>
      <c r="L34" s="1">
        <v>56305000</v>
      </c>
      <c r="M34" s="1">
        <v>56305000</v>
      </c>
    </row>
    <row r="35" spans="1:13" ht="20" customHeight="1" x14ac:dyDescent="0.25">
      <c r="A35" s="14" t="s">
        <v>103</v>
      </c>
      <c r="B35" s="1"/>
      <c r="C35" s="22">
        <f>(C34-B34)/B34</f>
        <v>0</v>
      </c>
      <c r="D35" s="22">
        <f t="shared" ref="D35:M35" si="5">(D34-C34)/C34</f>
        <v>0</v>
      </c>
      <c r="E35" s="22">
        <f t="shared" si="5"/>
        <v>-0.16935575117105292</v>
      </c>
      <c r="F35" s="22">
        <f t="shared" si="5"/>
        <v>0.36559784237338927</v>
      </c>
      <c r="G35" s="22">
        <f t="shared" si="5"/>
        <v>1.5680172362200012E-2</v>
      </c>
      <c r="H35" s="22">
        <f t="shared" si="5"/>
        <v>6.1752401154911318E-2</v>
      </c>
      <c r="I35" s="22">
        <f t="shared" si="5"/>
        <v>1.5354163198105703E-2</v>
      </c>
      <c r="J35" s="22">
        <f t="shared" si="5"/>
        <v>9.6015449924390112E-3</v>
      </c>
      <c r="K35" s="22">
        <f t="shared" si="5"/>
        <v>7.0920705958782979E-3</v>
      </c>
      <c r="L35" s="22">
        <f t="shared" si="5"/>
        <v>8.9236117332951066E-3</v>
      </c>
      <c r="M35" s="22">
        <f t="shared" si="5"/>
        <v>0</v>
      </c>
    </row>
    <row r="36" spans="1:1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row>
    <row r="37" spans="1:1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row>
    <row r="38" spans="1:13" ht="19" x14ac:dyDescent="0.25">
      <c r="A38" s="5" t="s">
        <v>30</v>
      </c>
      <c r="B38" s="1">
        <v>7990000</v>
      </c>
      <c r="C38" s="1">
        <v>9031000</v>
      </c>
      <c r="D38" s="1">
        <v>7594000</v>
      </c>
      <c r="E38" s="1">
        <v>78848000</v>
      </c>
      <c r="F38" s="1">
        <v>81258000</v>
      </c>
      <c r="G38" s="1">
        <v>86496000</v>
      </c>
      <c r="H38" s="1">
        <v>103468000</v>
      </c>
      <c r="I38" s="1">
        <v>137193000</v>
      </c>
      <c r="J38" s="1">
        <v>132476000</v>
      </c>
      <c r="K38" s="1">
        <v>250851000</v>
      </c>
      <c r="L38" s="1">
        <v>202287000</v>
      </c>
      <c r="M38" s="1">
        <v>139756000</v>
      </c>
    </row>
    <row r="39" spans="1:13" ht="19" x14ac:dyDescent="0.25">
      <c r="A39" s="5" t="s">
        <v>31</v>
      </c>
      <c r="B39" s="1" t="s">
        <v>92</v>
      </c>
      <c r="C39" s="1" t="s">
        <v>92</v>
      </c>
      <c r="D39" s="1" t="s">
        <v>92</v>
      </c>
      <c r="E39" s="1" t="s">
        <v>92</v>
      </c>
      <c r="F39" s="1" t="s">
        <v>92</v>
      </c>
      <c r="G39" s="1" t="s">
        <v>92</v>
      </c>
      <c r="H39" s="1" t="s">
        <v>92</v>
      </c>
      <c r="I39" s="1" t="s">
        <v>92</v>
      </c>
      <c r="J39" s="1">
        <v>29314000</v>
      </c>
      <c r="K39" s="1">
        <v>34556000</v>
      </c>
      <c r="L39" s="1">
        <v>4456000</v>
      </c>
      <c r="M39" s="1">
        <v>4456000</v>
      </c>
    </row>
    <row r="40" spans="1:13" ht="19" x14ac:dyDescent="0.25">
      <c r="A40" s="5" t="s">
        <v>32</v>
      </c>
      <c r="B40" s="1">
        <v>7990000</v>
      </c>
      <c r="C40" s="1">
        <v>9031000</v>
      </c>
      <c r="D40" s="1">
        <v>7594000</v>
      </c>
      <c r="E40" s="1">
        <v>78848000</v>
      </c>
      <c r="F40" s="1">
        <v>81258000</v>
      </c>
      <c r="G40" s="1">
        <v>86496000</v>
      </c>
      <c r="H40" s="1">
        <v>103468000</v>
      </c>
      <c r="I40" s="1">
        <v>137193000</v>
      </c>
      <c r="J40" s="1">
        <v>161790000</v>
      </c>
      <c r="K40" s="1">
        <v>285407000</v>
      </c>
      <c r="L40" s="1">
        <v>206743000</v>
      </c>
      <c r="M40" s="1">
        <v>144212000</v>
      </c>
    </row>
    <row r="41" spans="1:13" ht="19" x14ac:dyDescent="0.25">
      <c r="A41" s="5" t="s">
        <v>33</v>
      </c>
      <c r="B41" s="1">
        <v>852000</v>
      </c>
      <c r="C41" s="1">
        <v>505000</v>
      </c>
      <c r="D41" s="1">
        <v>740000</v>
      </c>
      <c r="E41" s="1">
        <v>756000</v>
      </c>
      <c r="F41" s="1">
        <v>1115000</v>
      </c>
      <c r="G41" s="1">
        <v>1681000</v>
      </c>
      <c r="H41" s="1">
        <v>2040000</v>
      </c>
      <c r="I41" s="1">
        <v>3453000</v>
      </c>
      <c r="J41" s="1">
        <v>4358000</v>
      </c>
      <c r="K41" s="1">
        <v>4923000</v>
      </c>
      <c r="L41" s="1">
        <v>6267000</v>
      </c>
      <c r="M41" s="1">
        <v>15754000</v>
      </c>
    </row>
    <row r="42" spans="1:13"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row>
    <row r="43" spans="1:13" ht="19" x14ac:dyDescent="0.25">
      <c r="A43" s="5" t="s">
        <v>35</v>
      </c>
      <c r="B43" s="1">
        <v>299966000</v>
      </c>
      <c r="C43" s="1">
        <v>264550000</v>
      </c>
      <c r="D43" s="1">
        <v>358382000</v>
      </c>
      <c r="E43" s="1">
        <v>420661000</v>
      </c>
      <c r="F43" s="1">
        <v>596410000</v>
      </c>
      <c r="G43" s="1">
        <v>1247031000</v>
      </c>
      <c r="H43" s="1">
        <v>957338000</v>
      </c>
      <c r="I43" s="1">
        <v>1237594000</v>
      </c>
      <c r="J43" s="1">
        <v>1430041000</v>
      </c>
      <c r="K43" s="1">
        <v>1372824000</v>
      </c>
      <c r="L43" s="1">
        <v>1819873000</v>
      </c>
      <c r="M43" s="1">
        <v>4071717000</v>
      </c>
    </row>
    <row r="44" spans="1:13" ht="19" x14ac:dyDescent="0.25">
      <c r="A44" s="6" t="s">
        <v>36</v>
      </c>
      <c r="B44" s="10">
        <v>308808000</v>
      </c>
      <c r="C44" s="10">
        <v>274086000</v>
      </c>
      <c r="D44" s="10">
        <v>366716000</v>
      </c>
      <c r="E44" s="10">
        <v>500265000</v>
      </c>
      <c r="F44" s="10">
        <v>678783000</v>
      </c>
      <c r="G44" s="10">
        <v>1335208000</v>
      </c>
      <c r="H44" s="10">
        <v>1062846000</v>
      </c>
      <c r="I44" s="10">
        <v>1378240000</v>
      </c>
      <c r="J44" s="10">
        <v>1596189000</v>
      </c>
      <c r="K44" s="10">
        <v>1663154000</v>
      </c>
      <c r="L44" s="10">
        <v>2032883000</v>
      </c>
      <c r="M44" s="10">
        <v>4231683000</v>
      </c>
    </row>
    <row r="45" spans="1:13" ht="19" x14ac:dyDescent="0.25">
      <c r="A45" s="5" t="s">
        <v>37</v>
      </c>
      <c r="B45" s="1">
        <v>4959000</v>
      </c>
      <c r="C45" s="1">
        <v>7143000</v>
      </c>
      <c r="D45" s="1">
        <v>8586000</v>
      </c>
      <c r="E45" s="1">
        <v>13125000</v>
      </c>
      <c r="F45" s="1">
        <v>16061000</v>
      </c>
      <c r="G45" s="1">
        <v>26787000</v>
      </c>
      <c r="H45" s="1">
        <v>40756000</v>
      </c>
      <c r="I45" s="1">
        <v>62029000</v>
      </c>
      <c r="J45" s="1">
        <v>70056000</v>
      </c>
      <c r="K45" s="1">
        <v>115395000</v>
      </c>
      <c r="L45" s="1">
        <v>103819000</v>
      </c>
      <c r="M45" s="1">
        <v>112049000</v>
      </c>
    </row>
    <row r="46" spans="1:13" ht="19" x14ac:dyDescent="0.25">
      <c r="A46" s="5" t="s">
        <v>38</v>
      </c>
      <c r="B46" s="1" t="s">
        <v>92</v>
      </c>
      <c r="C46" s="1" t="s">
        <v>92</v>
      </c>
      <c r="D46" s="1" t="s">
        <v>92</v>
      </c>
      <c r="E46" s="1">
        <v>3035000</v>
      </c>
      <c r="F46" s="1">
        <v>6003000</v>
      </c>
      <c r="G46" s="1">
        <v>6003000</v>
      </c>
      <c r="H46" s="1">
        <v>6003000</v>
      </c>
      <c r="I46" s="1">
        <v>9590000</v>
      </c>
      <c r="J46" s="1">
        <v>9590000</v>
      </c>
      <c r="K46" s="1">
        <v>21655000</v>
      </c>
      <c r="L46" s="1">
        <v>33650000</v>
      </c>
      <c r="M46" s="1">
        <v>101949000</v>
      </c>
    </row>
    <row r="47" spans="1:13" ht="19" x14ac:dyDescent="0.25">
      <c r="A47" s="5" t="s">
        <v>39</v>
      </c>
      <c r="B47" s="1">
        <v>2725000</v>
      </c>
      <c r="C47" s="1">
        <v>3714000</v>
      </c>
      <c r="D47" s="1">
        <v>2614000</v>
      </c>
      <c r="E47" s="1">
        <v>11413000</v>
      </c>
      <c r="F47" s="1">
        <v>19298000</v>
      </c>
      <c r="G47" s="1">
        <v>21846000</v>
      </c>
      <c r="H47" s="1">
        <v>26301000</v>
      </c>
      <c r="I47" s="1">
        <v>34096000</v>
      </c>
      <c r="J47" s="1">
        <v>38237000</v>
      </c>
      <c r="K47" s="1">
        <v>49861000</v>
      </c>
      <c r="L47" s="1">
        <v>58045000</v>
      </c>
      <c r="M47" s="1">
        <v>107460000</v>
      </c>
    </row>
    <row r="48" spans="1:13" ht="19" x14ac:dyDescent="0.25">
      <c r="A48" s="5" t="s">
        <v>40</v>
      </c>
      <c r="B48" s="1">
        <v>2725000</v>
      </c>
      <c r="C48" s="1">
        <v>3714000</v>
      </c>
      <c r="D48" s="1">
        <v>2614000</v>
      </c>
      <c r="E48" s="1">
        <v>14448000</v>
      </c>
      <c r="F48" s="1">
        <v>25301000</v>
      </c>
      <c r="G48" s="1">
        <v>27849000</v>
      </c>
      <c r="H48" s="1">
        <v>32304000</v>
      </c>
      <c r="I48" s="1">
        <v>43686000</v>
      </c>
      <c r="J48" s="1">
        <v>47827000</v>
      </c>
      <c r="K48" s="1">
        <v>71516000</v>
      </c>
      <c r="L48" s="1">
        <v>91695000</v>
      </c>
      <c r="M48" s="1">
        <v>209409000</v>
      </c>
    </row>
    <row r="49" spans="1:13"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row>
    <row r="50" spans="1:13" ht="19" x14ac:dyDescent="0.25">
      <c r="A50" s="5" t="s">
        <v>42</v>
      </c>
      <c r="B50" s="1" t="s">
        <v>92</v>
      </c>
      <c r="C50" s="1" t="s">
        <v>92</v>
      </c>
      <c r="D50" s="1" t="s">
        <v>92</v>
      </c>
      <c r="E50" s="1" t="s">
        <v>92</v>
      </c>
      <c r="F50" s="1" t="s">
        <v>92</v>
      </c>
      <c r="G50" s="1" t="s">
        <v>92</v>
      </c>
      <c r="H50" s="1" t="s">
        <v>92</v>
      </c>
      <c r="I50" s="1">
        <v>22140000</v>
      </c>
      <c r="J50" s="1">
        <v>6472000</v>
      </c>
      <c r="K50" s="1">
        <v>4955000</v>
      </c>
      <c r="L50" s="1">
        <v>11602000</v>
      </c>
      <c r="M50" s="1">
        <v>19060000</v>
      </c>
    </row>
    <row r="51" spans="1:13" ht="19" x14ac:dyDescent="0.25">
      <c r="A51" s="5" t="s">
        <v>43</v>
      </c>
      <c r="B51" s="1" t="s">
        <v>92</v>
      </c>
      <c r="C51" s="1" t="s">
        <v>92</v>
      </c>
      <c r="D51" s="1" t="s">
        <v>92</v>
      </c>
      <c r="E51" s="1">
        <v>313000</v>
      </c>
      <c r="F51" s="1">
        <v>403000</v>
      </c>
      <c r="G51" s="1">
        <v>845000</v>
      </c>
      <c r="H51" s="1">
        <v>1535000</v>
      </c>
      <c r="I51" s="1">
        <v>1504000</v>
      </c>
      <c r="J51" s="1">
        <v>83397000</v>
      </c>
      <c r="K51" s="1">
        <v>130628000</v>
      </c>
      <c r="L51" s="1">
        <v>174886000</v>
      </c>
      <c r="M51" s="1">
        <v>236813000</v>
      </c>
    </row>
    <row r="52" spans="1:13" ht="19" x14ac:dyDescent="0.25">
      <c r="A52" s="5" t="s">
        <v>44</v>
      </c>
      <c r="B52" s="1">
        <v>7684000</v>
      </c>
      <c r="C52" s="1">
        <v>10857000</v>
      </c>
      <c r="D52" s="1">
        <v>11200000</v>
      </c>
      <c r="E52" s="1">
        <v>27886000</v>
      </c>
      <c r="F52" s="1">
        <v>41765000</v>
      </c>
      <c r="G52" s="1">
        <v>55481000</v>
      </c>
      <c r="H52" s="1">
        <v>74595000</v>
      </c>
      <c r="I52" s="1">
        <v>129359000</v>
      </c>
      <c r="J52" s="1">
        <v>207752000</v>
      </c>
      <c r="K52" s="1">
        <v>322494000</v>
      </c>
      <c r="L52" s="1">
        <v>382002000</v>
      </c>
      <c r="M52" s="1">
        <v>577331000</v>
      </c>
    </row>
    <row r="53" spans="1:1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row>
    <row r="54" spans="1:13" ht="20" thickBot="1" x14ac:dyDescent="0.3">
      <c r="A54" s="7" t="s">
        <v>46</v>
      </c>
      <c r="B54" s="11">
        <v>316492000</v>
      </c>
      <c r="C54" s="11">
        <v>284943000</v>
      </c>
      <c r="D54" s="11">
        <v>377916000</v>
      </c>
      <c r="E54" s="11">
        <v>528151000</v>
      </c>
      <c r="F54" s="11">
        <v>720548000</v>
      </c>
      <c r="G54" s="11">
        <v>1390689000</v>
      </c>
      <c r="H54" s="11">
        <v>1137441000</v>
      </c>
      <c r="I54" s="11">
        <v>1507599000</v>
      </c>
      <c r="J54" s="11">
        <v>1803941000</v>
      </c>
      <c r="K54" s="11">
        <v>1985648000</v>
      </c>
      <c r="L54" s="11">
        <v>2414885000</v>
      </c>
      <c r="M54" s="11">
        <v>4809014000</v>
      </c>
    </row>
    <row r="55" spans="1:13" ht="20" thickTop="1" x14ac:dyDescent="0.25">
      <c r="A55" s="5" t="s">
        <v>47</v>
      </c>
      <c r="B55" s="1">
        <v>703000</v>
      </c>
      <c r="C55" s="1">
        <v>1107000</v>
      </c>
      <c r="D55" s="1">
        <v>880000</v>
      </c>
      <c r="E55" s="1">
        <v>2133000</v>
      </c>
      <c r="F55" s="1">
        <v>1327000</v>
      </c>
      <c r="G55" s="1">
        <v>1621000</v>
      </c>
      <c r="H55" s="1">
        <v>2046000</v>
      </c>
      <c r="I55" s="1">
        <v>2990000</v>
      </c>
      <c r="J55" s="1">
        <v>3954000</v>
      </c>
      <c r="K55" s="1">
        <v>1755000</v>
      </c>
      <c r="L55" s="1">
        <v>4230000</v>
      </c>
      <c r="M55" s="1">
        <v>8374000</v>
      </c>
    </row>
    <row r="56" spans="1:13" ht="19" x14ac:dyDescent="0.25">
      <c r="A56" s="5" t="s">
        <v>48</v>
      </c>
      <c r="B56" s="1" t="s">
        <v>92</v>
      </c>
      <c r="C56" s="1" t="s">
        <v>92</v>
      </c>
      <c r="D56" s="1" t="s">
        <v>92</v>
      </c>
      <c r="E56" s="1" t="s">
        <v>92</v>
      </c>
      <c r="F56" s="1" t="s">
        <v>92</v>
      </c>
      <c r="G56" s="1" t="s">
        <v>92</v>
      </c>
      <c r="H56" s="1" t="s">
        <v>92</v>
      </c>
      <c r="I56" s="1" t="s">
        <v>92</v>
      </c>
      <c r="J56" s="1" t="s">
        <v>92</v>
      </c>
      <c r="K56" s="1" t="s">
        <v>92</v>
      </c>
      <c r="L56" s="1">
        <v>7549000</v>
      </c>
      <c r="M56" s="1">
        <v>8399000</v>
      </c>
    </row>
    <row r="57" spans="1:13"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row>
    <row r="58" spans="1:13" ht="19" x14ac:dyDescent="0.25">
      <c r="A58" s="5" t="s">
        <v>50</v>
      </c>
      <c r="B58" s="1" t="s">
        <v>92</v>
      </c>
      <c r="C58" s="1" t="s">
        <v>92</v>
      </c>
      <c r="D58" s="1" t="s">
        <v>92</v>
      </c>
      <c r="E58" s="1" t="s">
        <v>92</v>
      </c>
      <c r="F58" s="1" t="s">
        <v>92</v>
      </c>
      <c r="G58" s="1" t="s">
        <v>92</v>
      </c>
      <c r="H58" s="1" t="s">
        <v>92</v>
      </c>
      <c r="I58" s="1" t="s">
        <v>92</v>
      </c>
      <c r="J58" s="1">
        <v>5572000</v>
      </c>
      <c r="K58" s="1">
        <v>8777000</v>
      </c>
      <c r="L58" s="1">
        <v>9442000</v>
      </c>
      <c r="M58" s="1">
        <v>13548000</v>
      </c>
    </row>
    <row r="59" spans="1:13" ht="19" x14ac:dyDescent="0.25">
      <c r="A59" s="5" t="s">
        <v>51</v>
      </c>
      <c r="B59" s="1">
        <v>303617000</v>
      </c>
      <c r="C59" s="1">
        <v>270193000</v>
      </c>
      <c r="D59" s="1">
        <v>363531000</v>
      </c>
      <c r="E59" s="1">
        <v>430995000</v>
      </c>
      <c r="F59" s="1">
        <v>608160000</v>
      </c>
      <c r="G59" s="1">
        <v>1264601000</v>
      </c>
      <c r="H59" s="1">
        <v>972760000</v>
      </c>
      <c r="I59" s="1">
        <v>1267855000</v>
      </c>
      <c r="J59" s="1">
        <v>1446522000</v>
      </c>
      <c r="K59" s="1">
        <v>1398408000</v>
      </c>
      <c r="L59" s="1">
        <v>1845795000</v>
      </c>
      <c r="M59" s="1">
        <v>4090213000</v>
      </c>
    </row>
    <row r="60" spans="1:13" ht="19" x14ac:dyDescent="0.25">
      <c r="A60" s="6" t="s">
        <v>52</v>
      </c>
      <c r="B60" s="10">
        <v>304320000</v>
      </c>
      <c r="C60" s="10">
        <v>271300000</v>
      </c>
      <c r="D60" s="10">
        <v>364411000</v>
      </c>
      <c r="E60" s="10">
        <v>433128000</v>
      </c>
      <c r="F60" s="10">
        <v>609487000</v>
      </c>
      <c r="G60" s="10">
        <v>1266222000</v>
      </c>
      <c r="H60" s="10">
        <v>974806000</v>
      </c>
      <c r="I60" s="10">
        <v>1270845000</v>
      </c>
      <c r="J60" s="10">
        <v>1456048000</v>
      </c>
      <c r="K60" s="10">
        <v>1408940000</v>
      </c>
      <c r="L60" s="10">
        <v>1867016000</v>
      </c>
      <c r="M60" s="10">
        <v>4120534000</v>
      </c>
    </row>
    <row r="61" spans="1:13" ht="19" x14ac:dyDescent="0.25">
      <c r="A61" s="5" t="s">
        <v>53</v>
      </c>
      <c r="B61" s="1">
        <v>3188000</v>
      </c>
      <c r="C61" s="1">
        <v>1563000</v>
      </c>
      <c r="D61" s="1">
        <v>938000</v>
      </c>
      <c r="E61" s="1" t="s">
        <v>92</v>
      </c>
      <c r="F61" s="1" t="s">
        <v>92</v>
      </c>
      <c r="G61" s="1" t="s">
        <v>92</v>
      </c>
      <c r="H61" s="1" t="s">
        <v>92</v>
      </c>
      <c r="I61" s="1" t="s">
        <v>92</v>
      </c>
      <c r="J61" s="1" t="s">
        <v>92</v>
      </c>
      <c r="K61" s="1">
        <v>100000000</v>
      </c>
      <c r="L61" s="1">
        <v>67201000</v>
      </c>
      <c r="M61" s="1">
        <v>69119000</v>
      </c>
    </row>
    <row r="62" spans="1:13"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row>
    <row r="63" spans="1:13" ht="19" x14ac:dyDescent="0.25">
      <c r="A63" s="5" t="s">
        <v>54</v>
      </c>
      <c r="B63" s="1">
        <v>71000</v>
      </c>
      <c r="C63" s="1">
        <v>970000</v>
      </c>
      <c r="D63" s="1">
        <v>269000</v>
      </c>
      <c r="E63" s="1">
        <v>714000</v>
      </c>
      <c r="F63" s="1">
        <v>874000</v>
      </c>
      <c r="G63" s="1">
        <v>249000</v>
      </c>
      <c r="H63" s="1">
        <v>401000</v>
      </c>
      <c r="I63" s="1" t="s">
        <v>92</v>
      </c>
      <c r="J63" s="1">
        <v>6943000</v>
      </c>
      <c r="K63" s="1">
        <v>8754000</v>
      </c>
      <c r="L63" s="1">
        <v>1780000</v>
      </c>
      <c r="M63" s="1">
        <v>2217000</v>
      </c>
    </row>
    <row r="64" spans="1:13" ht="19" x14ac:dyDescent="0.25">
      <c r="A64" s="5" t="s">
        <v>55</v>
      </c>
      <c r="B64" s="1">
        <v>1828000</v>
      </c>
      <c r="C64" s="1">
        <v>2183000</v>
      </c>
      <c r="D64" s="1">
        <v>2317000</v>
      </c>
      <c r="E64" s="1">
        <v>3175000</v>
      </c>
      <c r="F64" s="1">
        <v>2607000</v>
      </c>
      <c r="G64" s="1">
        <v>4646000</v>
      </c>
      <c r="H64" s="1">
        <v>14621000</v>
      </c>
      <c r="I64" s="1">
        <v>23930000</v>
      </c>
      <c r="J64" s="1">
        <v>32986000</v>
      </c>
      <c r="K64" s="1">
        <v>75046000</v>
      </c>
      <c r="L64" s="1">
        <v>1958000</v>
      </c>
      <c r="M64" s="1">
        <v>3681000</v>
      </c>
    </row>
    <row r="65" spans="1:13" ht="19" x14ac:dyDescent="0.25">
      <c r="A65" s="5" t="s">
        <v>56</v>
      </c>
      <c r="B65" s="1">
        <v>5087000</v>
      </c>
      <c r="C65" s="1">
        <v>4716000</v>
      </c>
      <c r="D65" s="1">
        <v>3524000</v>
      </c>
      <c r="E65" s="1">
        <v>3889000</v>
      </c>
      <c r="F65" s="1">
        <v>3481000</v>
      </c>
      <c r="G65" s="1">
        <v>4895000</v>
      </c>
      <c r="H65" s="1">
        <v>15022000</v>
      </c>
      <c r="I65" s="1">
        <v>23930000</v>
      </c>
      <c r="J65" s="1">
        <v>39929000</v>
      </c>
      <c r="K65" s="1">
        <v>183800000</v>
      </c>
      <c r="L65" s="1">
        <v>70939000</v>
      </c>
      <c r="M65" s="1">
        <v>75017000</v>
      </c>
    </row>
    <row r="66" spans="1:13"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row>
    <row r="67" spans="1:13" ht="19" x14ac:dyDescent="0.25">
      <c r="A67" s="6" t="s">
        <v>58</v>
      </c>
      <c r="B67" s="10">
        <v>309407000</v>
      </c>
      <c r="C67" s="10">
        <v>276016000</v>
      </c>
      <c r="D67" s="10">
        <v>367935000</v>
      </c>
      <c r="E67" s="10">
        <v>437017000</v>
      </c>
      <c r="F67" s="10">
        <v>612968000</v>
      </c>
      <c r="G67" s="10">
        <v>1271117000</v>
      </c>
      <c r="H67" s="10">
        <v>989828000</v>
      </c>
      <c r="I67" s="10">
        <v>1294775000</v>
      </c>
      <c r="J67" s="10">
        <v>1495977000</v>
      </c>
      <c r="K67" s="10">
        <v>1592740000</v>
      </c>
      <c r="L67" s="10">
        <v>1937955000</v>
      </c>
      <c r="M67" s="10">
        <v>4195551000</v>
      </c>
    </row>
    <row r="68" spans="1:13" ht="19" x14ac:dyDescent="0.25">
      <c r="A68" s="5" t="s">
        <v>59</v>
      </c>
      <c r="B68" s="1">
        <v>38000</v>
      </c>
      <c r="C68" s="1">
        <v>32000</v>
      </c>
      <c r="D68" s="1">
        <v>32000</v>
      </c>
      <c r="E68" s="1">
        <v>50000</v>
      </c>
      <c r="F68" s="1">
        <v>51000</v>
      </c>
      <c r="G68" s="1">
        <v>51000</v>
      </c>
      <c r="H68" s="1">
        <v>52000</v>
      </c>
      <c r="I68" s="1">
        <v>53000</v>
      </c>
      <c r="J68" s="1">
        <v>53000</v>
      </c>
      <c r="K68" s="1">
        <v>54000</v>
      </c>
      <c r="L68" s="1">
        <v>55000</v>
      </c>
      <c r="M68" s="1">
        <v>55000</v>
      </c>
    </row>
    <row r="69" spans="1:13" ht="19" x14ac:dyDescent="0.25">
      <c r="A69" s="5" t="s">
        <v>60</v>
      </c>
      <c r="B69" s="1">
        <v>-6596000</v>
      </c>
      <c r="C69" s="1">
        <v>-27678000</v>
      </c>
      <c r="D69" s="1">
        <v>-27061000</v>
      </c>
      <c r="E69" s="1">
        <v>-34171000</v>
      </c>
      <c r="F69" s="1">
        <v>-48143000</v>
      </c>
      <c r="G69" s="1">
        <v>-51994000</v>
      </c>
      <c r="H69" s="1">
        <v>-45276000</v>
      </c>
      <c r="I69" s="1">
        <v>-6678000</v>
      </c>
      <c r="J69" s="1">
        <v>99817000</v>
      </c>
      <c r="K69" s="1">
        <v>164272000</v>
      </c>
      <c r="L69" s="1">
        <v>235091000</v>
      </c>
      <c r="M69" s="1">
        <v>325868000</v>
      </c>
    </row>
    <row r="70" spans="1:13" ht="19" x14ac:dyDescent="0.25">
      <c r="A70" s="5" t="s">
        <v>61</v>
      </c>
      <c r="B70" s="1">
        <v>-5707000</v>
      </c>
      <c r="C70" s="1">
        <v>-7371000</v>
      </c>
      <c r="D70" s="1">
        <v>-8255000</v>
      </c>
      <c r="E70" s="1">
        <v>-11749000</v>
      </c>
      <c r="F70" s="1">
        <v>-15094000</v>
      </c>
      <c r="G70" s="1">
        <v>-18457000</v>
      </c>
      <c r="H70" s="1">
        <v>-25413000</v>
      </c>
      <c r="I70" s="1">
        <v>-28729000</v>
      </c>
      <c r="J70" s="1">
        <v>-38366000</v>
      </c>
      <c r="K70" s="1">
        <v>1000000</v>
      </c>
      <c r="L70" s="1">
        <v>66000</v>
      </c>
      <c r="M70" s="1">
        <v>-2303000</v>
      </c>
    </row>
    <row r="71" spans="1:13" ht="19" x14ac:dyDescent="0.25">
      <c r="A71" s="5" t="s">
        <v>62</v>
      </c>
      <c r="B71" s="1">
        <v>10011000</v>
      </c>
      <c r="C71" s="1">
        <v>7371000</v>
      </c>
      <c r="D71" s="1">
        <v>8692000</v>
      </c>
      <c r="E71" s="1">
        <v>137004000</v>
      </c>
      <c r="F71" s="1">
        <v>170766000</v>
      </c>
      <c r="G71" s="1">
        <v>189972000</v>
      </c>
      <c r="H71" s="1">
        <v>218250000</v>
      </c>
      <c r="I71" s="1">
        <v>248178000</v>
      </c>
      <c r="J71" s="1">
        <v>246460000</v>
      </c>
      <c r="K71" s="1">
        <v>227582000</v>
      </c>
      <c r="L71" s="1">
        <v>241718000</v>
      </c>
      <c r="M71" s="1">
        <v>289843000</v>
      </c>
    </row>
    <row r="72" spans="1:13" ht="19" x14ac:dyDescent="0.25">
      <c r="A72" s="6" t="s">
        <v>63</v>
      </c>
      <c r="B72" s="10">
        <v>7085000</v>
      </c>
      <c r="C72" s="10">
        <v>8927000</v>
      </c>
      <c r="D72" s="10">
        <v>9981000</v>
      </c>
      <c r="E72" s="10">
        <v>91134000</v>
      </c>
      <c r="F72" s="10">
        <v>107580000</v>
      </c>
      <c r="G72" s="10">
        <v>119572000</v>
      </c>
      <c r="H72" s="10">
        <v>147613000</v>
      </c>
      <c r="I72" s="10">
        <v>212824000</v>
      </c>
      <c r="J72" s="10">
        <v>307964000</v>
      </c>
      <c r="K72" s="10">
        <v>392908000</v>
      </c>
      <c r="L72" s="10">
        <v>476930000</v>
      </c>
      <c r="M72" s="10">
        <v>613463000</v>
      </c>
    </row>
    <row r="73" spans="1:13" ht="20" thickBot="1" x14ac:dyDescent="0.3">
      <c r="A73" s="7" t="s">
        <v>64</v>
      </c>
      <c r="B73" s="11">
        <v>316492000</v>
      </c>
      <c r="C73" s="11">
        <v>284943000</v>
      </c>
      <c r="D73" s="11">
        <v>377916000</v>
      </c>
      <c r="E73" s="11">
        <v>528151000</v>
      </c>
      <c r="F73" s="11">
        <v>720548000</v>
      </c>
      <c r="G73" s="11">
        <v>1390689000</v>
      </c>
      <c r="H73" s="11">
        <v>1137441000</v>
      </c>
      <c r="I73" s="11">
        <v>1507599000</v>
      </c>
      <c r="J73" s="11">
        <v>1803941000</v>
      </c>
      <c r="K73" s="11">
        <v>1985648000</v>
      </c>
      <c r="L73" s="11">
        <v>2414885000</v>
      </c>
      <c r="M73" s="11">
        <v>4809014000</v>
      </c>
    </row>
    <row r="74" spans="1:13"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row>
    <row r="75" spans="1:1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row>
    <row r="76" spans="1:13" ht="19" x14ac:dyDescent="0.25">
      <c r="A76" s="5" t="s">
        <v>66</v>
      </c>
      <c r="B76" s="1">
        <v>-130000</v>
      </c>
      <c r="C76" s="1">
        <v>1688000</v>
      </c>
      <c r="D76" s="1">
        <v>617000</v>
      </c>
      <c r="E76" s="1">
        <v>-7110000</v>
      </c>
      <c r="F76" s="1">
        <v>-13972000</v>
      </c>
      <c r="G76" s="1">
        <v>-3851000</v>
      </c>
      <c r="H76" s="1">
        <v>6718000</v>
      </c>
      <c r="I76" s="1">
        <v>38598000</v>
      </c>
      <c r="J76" s="1">
        <v>53823000</v>
      </c>
      <c r="K76" s="1">
        <v>64455000</v>
      </c>
      <c r="L76" s="1">
        <v>70819000</v>
      </c>
      <c r="M76" s="1">
        <v>90777000</v>
      </c>
    </row>
    <row r="77" spans="1:13" ht="19" x14ac:dyDescent="0.25">
      <c r="A77" s="5" t="s">
        <v>13</v>
      </c>
      <c r="B77" s="1">
        <v>3779000</v>
      </c>
      <c r="C77" s="1">
        <v>4624000</v>
      </c>
      <c r="D77" s="1">
        <v>5571000</v>
      </c>
      <c r="E77" s="1">
        <v>6336000</v>
      </c>
      <c r="F77" s="1">
        <v>8609000</v>
      </c>
      <c r="G77" s="1">
        <v>13873000</v>
      </c>
      <c r="H77" s="1">
        <v>21027000</v>
      </c>
      <c r="I77" s="1">
        <v>30202000</v>
      </c>
      <c r="J77" s="1">
        <v>34564000</v>
      </c>
      <c r="K77" s="1">
        <v>37913000</v>
      </c>
      <c r="L77" s="1">
        <v>42972000</v>
      </c>
      <c r="M77" s="1">
        <v>50218000</v>
      </c>
    </row>
    <row r="78" spans="1:13" ht="19" x14ac:dyDescent="0.25">
      <c r="A78" s="5" t="s">
        <v>67</v>
      </c>
      <c r="B78" s="1">
        <v>-42000</v>
      </c>
      <c r="C78" s="1">
        <v>838000</v>
      </c>
      <c r="D78" s="1">
        <v>-822000</v>
      </c>
      <c r="E78" s="1">
        <v>341000</v>
      </c>
      <c r="F78" s="1">
        <v>91000</v>
      </c>
      <c r="G78" s="1">
        <v>150000</v>
      </c>
      <c r="H78" s="1">
        <v>152000</v>
      </c>
      <c r="I78" s="1">
        <v>-21870000</v>
      </c>
      <c r="J78" s="1">
        <v>4134000</v>
      </c>
      <c r="K78" s="1">
        <v>2754000</v>
      </c>
      <c r="L78" s="1">
        <v>-13642000</v>
      </c>
      <c r="M78" s="1">
        <v>-7180000</v>
      </c>
    </row>
    <row r="79" spans="1:13" ht="19" x14ac:dyDescent="0.25">
      <c r="A79" s="5" t="s">
        <v>68</v>
      </c>
      <c r="B79" s="1">
        <v>177000</v>
      </c>
      <c r="C79" s="1">
        <v>203000</v>
      </c>
      <c r="D79" s="1">
        <v>523000</v>
      </c>
      <c r="E79" s="1">
        <v>4929000</v>
      </c>
      <c r="F79" s="1">
        <v>13169000</v>
      </c>
      <c r="G79" s="1">
        <v>17563000</v>
      </c>
      <c r="H79" s="1">
        <v>26734000</v>
      </c>
      <c r="I79" s="1">
        <v>30354000</v>
      </c>
      <c r="J79" s="1">
        <v>38765000</v>
      </c>
      <c r="K79" s="1">
        <v>47493000</v>
      </c>
      <c r="L79" s="1">
        <v>63052000</v>
      </c>
      <c r="M79" s="1">
        <v>96202000</v>
      </c>
    </row>
    <row r="80" spans="1:13" ht="19" x14ac:dyDescent="0.25">
      <c r="A80" s="14" t="s">
        <v>104</v>
      </c>
      <c r="B80" s="15">
        <f t="shared" ref="B80:M80" si="6">B79/B3</f>
        <v>4.4828284874886028E-3</v>
      </c>
      <c r="C80" s="15">
        <f t="shared" si="6"/>
        <v>3.6844780020328155E-3</v>
      </c>
      <c r="D80" s="15">
        <f t="shared" si="6"/>
        <v>6.7663725515563948E-3</v>
      </c>
      <c r="E80" s="15">
        <f t="shared" si="6"/>
        <v>4.5350409892627452E-2</v>
      </c>
      <c r="F80" s="15">
        <f t="shared" si="6"/>
        <v>8.6242124978716153E-2</v>
      </c>
      <c r="G80" s="15">
        <f t="shared" si="6"/>
        <v>7.6128842094312546E-2</v>
      </c>
      <c r="H80" s="15">
        <f t="shared" si="6"/>
        <v>8.9110362987900399E-2</v>
      </c>
      <c r="I80" s="15">
        <f t="shared" si="6"/>
        <v>8.0402196399197934E-2</v>
      </c>
      <c r="J80" s="15">
        <f t="shared" si="6"/>
        <v>8.2896202791505308E-2</v>
      </c>
      <c r="K80" s="15">
        <f t="shared" si="6"/>
        <v>8.4608135335961621E-2</v>
      </c>
      <c r="L80" s="15">
        <f t="shared" si="6"/>
        <v>9.9196541367814778E-2</v>
      </c>
      <c r="M80" s="15">
        <f t="shared" si="6"/>
        <v>0.11282693622595881</v>
      </c>
    </row>
    <row r="81" spans="1:21" ht="19" x14ac:dyDescent="0.25">
      <c r="A81" s="5" t="s">
        <v>69</v>
      </c>
      <c r="B81" s="1">
        <v>1166000</v>
      </c>
      <c r="C81" s="1">
        <v>1151000</v>
      </c>
      <c r="D81" s="1">
        <v>279000</v>
      </c>
      <c r="E81" s="1">
        <v>2543000</v>
      </c>
      <c r="F81" s="1">
        <v>2862000</v>
      </c>
      <c r="G81" s="1">
        <v>4387000</v>
      </c>
      <c r="H81" s="1">
        <v>6983000</v>
      </c>
      <c r="I81" s="1">
        <v>20500000</v>
      </c>
      <c r="J81" s="1">
        <v>-14761000</v>
      </c>
      <c r="K81" s="1">
        <v>-38982000</v>
      </c>
      <c r="L81" s="1">
        <v>-39817000</v>
      </c>
      <c r="M81" s="1">
        <v>-76159000</v>
      </c>
    </row>
    <row r="82" spans="1:21" ht="19" x14ac:dyDescent="0.25">
      <c r="A82" s="5" t="s">
        <v>70</v>
      </c>
      <c r="B82" s="1">
        <v>-339000</v>
      </c>
      <c r="C82" s="1">
        <v>287000</v>
      </c>
      <c r="D82" s="1">
        <v>-295000</v>
      </c>
      <c r="E82" s="1">
        <v>-78000</v>
      </c>
      <c r="F82" s="1">
        <v>-449000</v>
      </c>
      <c r="G82" s="1">
        <v>-725000</v>
      </c>
      <c r="H82" s="1">
        <v>-472000</v>
      </c>
      <c r="I82" s="1">
        <v>-1494000</v>
      </c>
      <c r="J82" s="1">
        <v>-1188000</v>
      </c>
      <c r="K82" s="1">
        <v>-732000</v>
      </c>
      <c r="L82" s="1">
        <v>-1654000</v>
      </c>
      <c r="M82" s="1">
        <v>-7605000</v>
      </c>
    </row>
    <row r="83" spans="1:21"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T83" s="59" t="s">
        <v>122</v>
      </c>
      <c r="U83" s="60"/>
    </row>
    <row r="84" spans="1:21" ht="19" x14ac:dyDescent="0.25">
      <c r="A84" s="5" t="s">
        <v>47</v>
      </c>
      <c r="B84" s="1">
        <v>252000</v>
      </c>
      <c r="C84" s="1">
        <v>102000</v>
      </c>
      <c r="D84" s="1">
        <v>138000</v>
      </c>
      <c r="E84" s="1">
        <v>465000</v>
      </c>
      <c r="F84" s="1">
        <v>-186000</v>
      </c>
      <c r="G84" s="1">
        <v>72000</v>
      </c>
      <c r="H84" s="1">
        <v>219000</v>
      </c>
      <c r="I84" s="1">
        <v>740000</v>
      </c>
      <c r="J84" s="1">
        <v>-75000</v>
      </c>
      <c r="K84" s="1">
        <v>-806000</v>
      </c>
      <c r="L84" s="1">
        <v>2394000</v>
      </c>
      <c r="M84" s="1">
        <v>2553000</v>
      </c>
      <c r="T84" s="61" t="s">
        <v>123</v>
      </c>
      <c r="U84" s="62"/>
    </row>
    <row r="85" spans="1:21" ht="20" x14ac:dyDescent="0.25">
      <c r="A85" s="5" t="s">
        <v>71</v>
      </c>
      <c r="B85" s="1">
        <v>4488000</v>
      </c>
      <c r="C85" s="1">
        <v>2786000</v>
      </c>
      <c r="D85" s="1">
        <v>2305000</v>
      </c>
      <c r="E85" s="1">
        <v>67137000</v>
      </c>
      <c r="F85" s="1">
        <v>69296000</v>
      </c>
      <c r="G85" s="1">
        <v>68986000</v>
      </c>
      <c r="H85" s="1">
        <v>2845000</v>
      </c>
      <c r="I85" s="1">
        <v>11754000</v>
      </c>
      <c r="J85" s="1">
        <v>-27512000</v>
      </c>
      <c r="K85" s="1">
        <v>-54944000</v>
      </c>
      <c r="L85" s="1">
        <v>-56850000</v>
      </c>
      <c r="M85" s="1">
        <v>-73263000</v>
      </c>
      <c r="T85" s="23" t="s">
        <v>124</v>
      </c>
      <c r="U85" s="24">
        <f>M17</f>
        <v>0</v>
      </c>
    </row>
    <row r="86" spans="1:21" ht="20" x14ac:dyDescent="0.25">
      <c r="A86" s="5" t="s">
        <v>72</v>
      </c>
      <c r="B86" s="1">
        <v>72000</v>
      </c>
      <c r="C86" s="1">
        <v>60000</v>
      </c>
      <c r="D86" s="1">
        <v>60000</v>
      </c>
      <c r="E86" s="1">
        <v>160000</v>
      </c>
      <c r="F86" s="1">
        <v>346000</v>
      </c>
      <c r="G86" s="1">
        <v>871000</v>
      </c>
      <c r="H86" s="1">
        <v>366000</v>
      </c>
      <c r="I86" s="1">
        <v>82000</v>
      </c>
      <c r="J86" s="1">
        <v>-1493000</v>
      </c>
      <c r="K86" s="1">
        <v>-978000</v>
      </c>
      <c r="L86" s="1">
        <v>1466000</v>
      </c>
      <c r="M86" s="1">
        <v>1195000</v>
      </c>
      <c r="T86" s="23" t="s">
        <v>125</v>
      </c>
      <c r="U86" s="24">
        <f>M56</f>
        <v>8399000</v>
      </c>
    </row>
    <row r="87" spans="1:21" ht="20" x14ac:dyDescent="0.25">
      <c r="A87" s="6" t="s">
        <v>73</v>
      </c>
      <c r="B87" s="10">
        <v>5022000</v>
      </c>
      <c r="C87" s="10">
        <v>8564000</v>
      </c>
      <c r="D87" s="10">
        <v>6228000</v>
      </c>
      <c r="E87" s="10">
        <v>7199000</v>
      </c>
      <c r="F87" s="10">
        <v>11105000</v>
      </c>
      <c r="G87" s="10">
        <v>32993000</v>
      </c>
      <c r="H87" s="10">
        <v>61980000</v>
      </c>
      <c r="I87" s="10">
        <v>97866000</v>
      </c>
      <c r="J87" s="10">
        <v>115032000</v>
      </c>
      <c r="K87" s="10">
        <v>112655000</v>
      </c>
      <c r="L87" s="10">
        <v>124850000</v>
      </c>
      <c r="M87" s="10">
        <v>155053000</v>
      </c>
      <c r="T87" s="23" t="s">
        <v>126</v>
      </c>
      <c r="U87" s="24">
        <f>M61</f>
        <v>69119000</v>
      </c>
    </row>
    <row r="88" spans="1:21" ht="20" x14ac:dyDescent="0.25">
      <c r="A88" s="5" t="s">
        <v>74</v>
      </c>
      <c r="B88" s="1">
        <v>-1987000</v>
      </c>
      <c r="C88" s="1">
        <v>-3446000</v>
      </c>
      <c r="D88" s="1">
        <v>-3987000</v>
      </c>
      <c r="E88" s="1">
        <v>-11016000</v>
      </c>
      <c r="F88" s="1">
        <v>-13235000</v>
      </c>
      <c r="G88" s="1">
        <v>-24474000</v>
      </c>
      <c r="H88" s="1">
        <v>-34979000</v>
      </c>
      <c r="I88" s="1">
        <v>-37314000</v>
      </c>
      <c r="J88" s="1">
        <v>-31422000</v>
      </c>
      <c r="K88" s="1">
        <v>-42293000</v>
      </c>
      <c r="L88" s="1">
        <v>-9461000</v>
      </c>
      <c r="M88" s="1">
        <v>-18069000</v>
      </c>
      <c r="T88" s="32" t="s">
        <v>127</v>
      </c>
      <c r="U88" s="33">
        <f>U85/(U86+U87)</f>
        <v>0</v>
      </c>
    </row>
    <row r="89" spans="1:21" ht="20" customHeight="1" x14ac:dyDescent="0.25">
      <c r="A89" s="14" t="s">
        <v>105</v>
      </c>
      <c r="B89" s="15">
        <f t="shared" ref="B89:M89" si="7">(-1*B88)/B3</f>
        <v>5.0324181947117817E-2</v>
      </c>
      <c r="C89" s="15">
        <f t="shared" si="7"/>
        <v>6.2545375344852619E-2</v>
      </c>
      <c r="D89" s="15">
        <f t="shared" si="7"/>
        <v>5.1582270292648849E-2</v>
      </c>
      <c r="E89" s="15">
        <f t="shared" si="7"/>
        <v>0.1013552678793232</v>
      </c>
      <c r="F89" s="15">
        <f t="shared" si="7"/>
        <v>8.6674350679118259E-2</v>
      </c>
      <c r="G89" s="15">
        <f t="shared" si="7"/>
        <v>0.10608536590651969</v>
      </c>
      <c r="H89" s="15">
        <f t="shared" si="7"/>
        <v>0.11659278024065864</v>
      </c>
      <c r="I89" s="15">
        <f t="shared" si="7"/>
        <v>9.8837963907217233E-2</v>
      </c>
      <c r="J89" s="15">
        <f t="shared" si="7"/>
        <v>6.7193718150772075E-2</v>
      </c>
      <c r="K89" s="15">
        <f t="shared" si="7"/>
        <v>7.5344405865365949E-2</v>
      </c>
      <c r="L89" s="15">
        <f t="shared" si="7"/>
        <v>1.4884515604277351E-2</v>
      </c>
      <c r="M89" s="15">
        <f t="shared" si="7"/>
        <v>2.1191554340521501E-2</v>
      </c>
      <c r="T89" s="23" t="s">
        <v>106</v>
      </c>
      <c r="U89" s="24">
        <f>M27</f>
        <v>-7180000</v>
      </c>
    </row>
    <row r="90" spans="1:21" ht="20" x14ac:dyDescent="0.25">
      <c r="A90" s="5" t="s">
        <v>75</v>
      </c>
      <c r="B90" s="1" t="s">
        <v>92</v>
      </c>
      <c r="C90" s="1" t="s">
        <v>92</v>
      </c>
      <c r="D90" s="1" t="s">
        <v>92</v>
      </c>
      <c r="E90" s="1">
        <v>-6000000</v>
      </c>
      <c r="F90" s="1">
        <v>-12000000</v>
      </c>
      <c r="G90" s="1" t="s">
        <v>92</v>
      </c>
      <c r="H90" s="1" t="s">
        <v>92</v>
      </c>
      <c r="I90" s="1">
        <v>-7000000</v>
      </c>
      <c r="J90" s="1" t="s">
        <v>92</v>
      </c>
      <c r="K90" s="1">
        <v>-17000000</v>
      </c>
      <c r="L90" s="1">
        <v>-14992000</v>
      </c>
      <c r="M90" s="1">
        <v>-107576000</v>
      </c>
      <c r="T90" s="23" t="s">
        <v>19</v>
      </c>
      <c r="U90" s="24">
        <f>M25</f>
        <v>83597000</v>
      </c>
    </row>
    <row r="91" spans="1:21" ht="20" x14ac:dyDescent="0.25">
      <c r="A91" s="5" t="s">
        <v>76</v>
      </c>
      <c r="B91" s="1">
        <v>-176480000</v>
      </c>
      <c r="C91" s="1" t="s">
        <v>92</v>
      </c>
      <c r="D91" s="1">
        <v>-92650000</v>
      </c>
      <c r="E91" s="1">
        <v>-61356000</v>
      </c>
      <c r="F91" s="1">
        <v>-173958000</v>
      </c>
      <c r="G91" s="1">
        <v>-648403000</v>
      </c>
      <c r="H91" s="1" t="s">
        <v>92</v>
      </c>
      <c r="I91" s="1">
        <v>-354988000</v>
      </c>
      <c r="J91" s="1">
        <v>-250685000</v>
      </c>
      <c r="K91" s="1">
        <v>-400343000</v>
      </c>
      <c r="L91" s="1" t="s">
        <v>92</v>
      </c>
      <c r="M91" s="1">
        <v>-433962000</v>
      </c>
      <c r="T91" s="32" t="s">
        <v>128</v>
      </c>
      <c r="U91" s="33">
        <f>U89/U90</f>
        <v>-8.5888249578334144E-2</v>
      </c>
    </row>
    <row r="92" spans="1:21" ht="20" x14ac:dyDescent="0.25">
      <c r="A92" s="5" t="s">
        <v>77</v>
      </c>
      <c r="B92" s="1" t="s">
        <v>92</v>
      </c>
      <c r="C92" s="1">
        <v>35724000</v>
      </c>
      <c r="D92" s="1" t="s">
        <v>92</v>
      </c>
      <c r="E92" s="1" t="s">
        <v>92</v>
      </c>
      <c r="F92" s="1" t="s">
        <v>92</v>
      </c>
      <c r="G92" s="1" t="s">
        <v>92</v>
      </c>
      <c r="H92" s="1">
        <v>297163000</v>
      </c>
      <c r="I92" s="1">
        <v>73044000</v>
      </c>
      <c r="J92" s="1">
        <v>246243000</v>
      </c>
      <c r="K92" s="1">
        <v>410593000</v>
      </c>
      <c r="L92" s="1">
        <v>101467000</v>
      </c>
      <c r="M92" s="1">
        <v>116848000</v>
      </c>
      <c r="T92" s="34" t="s">
        <v>129</v>
      </c>
      <c r="U92" s="35">
        <f>U88*(1-U91)</f>
        <v>0</v>
      </c>
    </row>
    <row r="93" spans="1:21" ht="19" x14ac:dyDescent="0.25">
      <c r="A93" s="5" t="s">
        <v>78</v>
      </c>
      <c r="B93" s="1">
        <v>-2746000</v>
      </c>
      <c r="C93" s="1">
        <v>-3716000</v>
      </c>
      <c r="D93" s="1">
        <v>-1967000</v>
      </c>
      <c r="E93" s="1">
        <v>-450000</v>
      </c>
      <c r="F93" s="1">
        <v>21000</v>
      </c>
      <c r="G93" s="1">
        <v>-483000</v>
      </c>
      <c r="H93" s="1">
        <v>-2845000</v>
      </c>
      <c r="I93" s="1">
        <v>-13100000</v>
      </c>
      <c r="J93" s="1">
        <v>-7480000</v>
      </c>
      <c r="K93" s="1">
        <v>286000</v>
      </c>
      <c r="L93" s="1">
        <v>-28594000</v>
      </c>
      <c r="M93" s="1">
        <v>-37015000</v>
      </c>
      <c r="T93" s="63" t="s">
        <v>130</v>
      </c>
      <c r="U93" s="64"/>
    </row>
    <row r="94" spans="1:21" ht="20" x14ac:dyDescent="0.25">
      <c r="A94" s="6" t="s">
        <v>79</v>
      </c>
      <c r="B94" s="10">
        <v>-181213000</v>
      </c>
      <c r="C94" s="10">
        <v>28562000</v>
      </c>
      <c r="D94" s="10">
        <v>-98604000</v>
      </c>
      <c r="E94" s="10">
        <v>-78822000</v>
      </c>
      <c r="F94" s="10">
        <v>-199172000</v>
      </c>
      <c r="G94" s="10">
        <v>-673360000</v>
      </c>
      <c r="H94" s="10">
        <v>259339000</v>
      </c>
      <c r="I94" s="10">
        <v>-339358000</v>
      </c>
      <c r="J94" s="10">
        <v>-43344000</v>
      </c>
      <c r="K94" s="10">
        <v>-48757000</v>
      </c>
      <c r="L94" s="10">
        <v>48420000</v>
      </c>
      <c r="M94" s="10">
        <v>-479774000</v>
      </c>
      <c r="T94" s="23" t="s">
        <v>131</v>
      </c>
      <c r="U94" s="36">
        <v>4.095E-2</v>
      </c>
    </row>
    <row r="95" spans="1:21" ht="20" x14ac:dyDescent="0.25">
      <c r="A95" s="5" t="s">
        <v>80</v>
      </c>
      <c r="B95" s="1">
        <v>-467000</v>
      </c>
      <c r="C95" s="1">
        <v>-312000</v>
      </c>
      <c r="D95" s="1">
        <v>-1625000</v>
      </c>
      <c r="E95" s="1">
        <v>-1563000</v>
      </c>
      <c r="F95" s="1" t="s">
        <v>92</v>
      </c>
      <c r="G95" s="1" t="s">
        <v>92</v>
      </c>
      <c r="H95" s="1" t="s">
        <v>92</v>
      </c>
      <c r="I95" s="1" t="s">
        <v>92</v>
      </c>
      <c r="J95" s="1" t="s">
        <v>92</v>
      </c>
      <c r="K95" s="1" t="s">
        <v>92</v>
      </c>
      <c r="L95" s="1">
        <v>-100000000</v>
      </c>
      <c r="M95" s="1">
        <v>-50000000</v>
      </c>
      <c r="T95" s="23" t="s">
        <v>132</v>
      </c>
      <c r="U95" s="37" cm="1">
        <f t="array" ref="U95">_FV(A1,"Beta")</f>
        <v>1.0879000000000001</v>
      </c>
    </row>
    <row r="96" spans="1:21" ht="20" x14ac:dyDescent="0.25">
      <c r="A96" s="5" t="s">
        <v>81</v>
      </c>
      <c r="B96" s="1" t="s">
        <v>92</v>
      </c>
      <c r="C96" s="1" t="s">
        <v>92</v>
      </c>
      <c r="D96" s="1" t="s">
        <v>92</v>
      </c>
      <c r="E96" s="1">
        <v>82032000</v>
      </c>
      <c r="F96" s="1">
        <v>18367000</v>
      </c>
      <c r="G96" s="1" t="s">
        <v>92</v>
      </c>
      <c r="H96" s="1" t="s">
        <v>92</v>
      </c>
      <c r="I96" s="1" t="s">
        <v>92</v>
      </c>
      <c r="J96" s="1" t="s">
        <v>92</v>
      </c>
      <c r="K96" s="1" t="s">
        <v>92</v>
      </c>
      <c r="L96" s="1" t="s">
        <v>92</v>
      </c>
      <c r="M96" s="1" t="s">
        <v>92</v>
      </c>
      <c r="T96" s="23" t="s">
        <v>133</v>
      </c>
      <c r="U96" s="36">
        <v>8.4000000000000005E-2</v>
      </c>
    </row>
    <row r="97" spans="1:21" ht="20" x14ac:dyDescent="0.25">
      <c r="A97" s="5" t="s">
        <v>82</v>
      </c>
      <c r="B97" s="1" t="s">
        <v>92</v>
      </c>
      <c r="C97" s="1">
        <v>-27371000</v>
      </c>
      <c r="D97" s="1">
        <v>-162000</v>
      </c>
      <c r="E97" s="1" t="s">
        <v>92</v>
      </c>
      <c r="F97" s="1" t="s">
        <v>92</v>
      </c>
      <c r="G97" s="1" t="s">
        <v>92</v>
      </c>
      <c r="H97" s="1" t="s">
        <v>92</v>
      </c>
      <c r="I97" s="1" t="s">
        <v>92</v>
      </c>
      <c r="J97" s="1">
        <v>-34991000</v>
      </c>
      <c r="K97" s="1" t="s">
        <v>92</v>
      </c>
      <c r="L97" s="1" t="s">
        <v>92</v>
      </c>
      <c r="M97" s="1" t="s">
        <v>92</v>
      </c>
      <c r="T97" s="34" t="s">
        <v>134</v>
      </c>
      <c r="U97" s="35">
        <f>(U94)+((U95)*(U96-U94))</f>
        <v>8.7784095000000006E-2</v>
      </c>
    </row>
    <row r="98" spans="1:21"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T98" s="63" t="s">
        <v>135</v>
      </c>
      <c r="U98" s="64"/>
    </row>
    <row r="99" spans="1:21" ht="20" x14ac:dyDescent="0.25">
      <c r="A99" s="5" t="s">
        <v>84</v>
      </c>
      <c r="B99" s="1">
        <v>176999000</v>
      </c>
      <c r="C99" s="1">
        <v>-8402000</v>
      </c>
      <c r="D99" s="1">
        <v>92726000</v>
      </c>
      <c r="E99" s="1">
        <v>62408000</v>
      </c>
      <c r="F99" s="1">
        <v>172110000</v>
      </c>
      <c r="G99" s="1">
        <v>645605000</v>
      </c>
      <c r="H99" s="1">
        <v>-304347000</v>
      </c>
      <c r="I99" s="1">
        <v>275217000</v>
      </c>
      <c r="J99" s="1">
        <v>149715000</v>
      </c>
      <c r="K99" s="1">
        <v>2092000</v>
      </c>
      <c r="L99" s="1">
        <v>380478000</v>
      </c>
      <c r="M99" s="1">
        <v>2222293000</v>
      </c>
      <c r="T99" s="23" t="s">
        <v>136</v>
      </c>
      <c r="U99" s="24">
        <f>U86+U87</f>
        <v>77518000</v>
      </c>
    </row>
    <row r="100" spans="1:21" ht="20" x14ac:dyDescent="0.25">
      <c r="A100" s="6" t="s">
        <v>85</v>
      </c>
      <c r="B100" s="10">
        <v>176532000</v>
      </c>
      <c r="C100" s="10">
        <v>-36085000</v>
      </c>
      <c r="D100" s="10">
        <v>90939000</v>
      </c>
      <c r="E100" s="10">
        <v>142877000</v>
      </c>
      <c r="F100" s="10">
        <v>190477000</v>
      </c>
      <c r="G100" s="10">
        <v>645605000</v>
      </c>
      <c r="H100" s="10">
        <v>-304347000</v>
      </c>
      <c r="I100" s="10">
        <v>275217000</v>
      </c>
      <c r="J100" s="10">
        <v>114724000</v>
      </c>
      <c r="K100" s="10">
        <v>2092000</v>
      </c>
      <c r="L100" s="10">
        <v>280478000</v>
      </c>
      <c r="M100" s="10">
        <v>2172293000</v>
      </c>
      <c r="T100" s="32" t="s">
        <v>137</v>
      </c>
      <c r="U100" s="33">
        <f>U99/U103</f>
        <v>8.1234114647162209E-3</v>
      </c>
    </row>
    <row r="101" spans="1:21"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T101" s="23" t="s">
        <v>138</v>
      </c>
      <c r="U101" s="38" cm="1">
        <f t="array" ref="U101">_FV(A1,"Market cap",TRUE)</f>
        <v>9465024605</v>
      </c>
    </row>
    <row r="102" spans="1:21" ht="20" x14ac:dyDescent="0.25">
      <c r="A102" s="6" t="s">
        <v>87</v>
      </c>
      <c r="B102" s="10">
        <v>341000</v>
      </c>
      <c r="C102" s="10">
        <v>1041000</v>
      </c>
      <c r="D102" s="10">
        <v>-1437000</v>
      </c>
      <c r="E102" s="10">
        <v>71254000</v>
      </c>
      <c r="F102" s="10">
        <v>2410000</v>
      </c>
      <c r="G102" s="10">
        <v>5238000</v>
      </c>
      <c r="H102" s="10">
        <v>16972000</v>
      </c>
      <c r="I102" s="10">
        <v>33725000</v>
      </c>
      <c r="J102" s="10">
        <v>186412000</v>
      </c>
      <c r="K102" s="10">
        <v>65990000</v>
      </c>
      <c r="L102" s="10">
        <v>453748000</v>
      </c>
      <c r="M102" s="10">
        <v>1847572000</v>
      </c>
      <c r="T102" s="32" t="s">
        <v>139</v>
      </c>
      <c r="U102" s="33">
        <f>U101/U103</f>
        <v>0.99187658853528382</v>
      </c>
    </row>
    <row r="103" spans="1:21" ht="20" x14ac:dyDescent="0.25">
      <c r="A103" s="5" t="s">
        <v>88</v>
      </c>
      <c r="B103" s="1">
        <v>7649000</v>
      </c>
      <c r="C103" s="1">
        <v>7990000</v>
      </c>
      <c r="D103" s="1">
        <v>9031000</v>
      </c>
      <c r="E103" s="1">
        <v>7594000</v>
      </c>
      <c r="F103" s="1">
        <v>78848000</v>
      </c>
      <c r="G103" s="1">
        <v>81258000</v>
      </c>
      <c r="H103" s="1">
        <v>86496000</v>
      </c>
      <c r="I103" s="1">
        <v>103468000</v>
      </c>
      <c r="J103" s="1">
        <v>1239731000</v>
      </c>
      <c r="K103" s="1">
        <v>1426143000</v>
      </c>
      <c r="L103" s="1">
        <v>1492133000</v>
      </c>
      <c r="M103" s="1">
        <v>1945881000</v>
      </c>
      <c r="T103" s="34" t="s">
        <v>140</v>
      </c>
      <c r="U103" s="39">
        <f>U99+U101</f>
        <v>9542542605</v>
      </c>
    </row>
    <row r="104" spans="1:21" ht="20" thickBot="1" x14ac:dyDescent="0.3">
      <c r="A104" s="7" t="s">
        <v>89</v>
      </c>
      <c r="B104" s="11">
        <v>7990000</v>
      </c>
      <c r="C104" s="11">
        <v>9031000</v>
      </c>
      <c r="D104" s="11">
        <v>7594000</v>
      </c>
      <c r="E104" s="11">
        <v>78848000</v>
      </c>
      <c r="F104" s="11">
        <v>81258000</v>
      </c>
      <c r="G104" s="11">
        <v>86496000</v>
      </c>
      <c r="H104" s="11">
        <v>103468000</v>
      </c>
      <c r="I104" s="11">
        <v>137193000</v>
      </c>
      <c r="J104" s="11">
        <v>1426143000</v>
      </c>
      <c r="K104" s="11">
        <v>1492133000</v>
      </c>
      <c r="L104" s="11">
        <v>1945881000</v>
      </c>
      <c r="M104" s="11">
        <v>3793453000</v>
      </c>
      <c r="T104" s="61" t="s">
        <v>141</v>
      </c>
      <c r="U104" s="62"/>
    </row>
    <row r="105" spans="1:21" ht="21" thickTop="1" x14ac:dyDescent="0.25">
      <c r="A105" s="14" t="s">
        <v>107</v>
      </c>
      <c r="B105" s="1"/>
      <c r="C105" s="15">
        <f>(C106/B106)-1</f>
        <v>3.85121107266436</v>
      </c>
      <c r="D105" s="15">
        <f>(D106/C106)-1</f>
        <v>-0.80456490727532093</v>
      </c>
      <c r="E105" s="15">
        <f>(E106/D106)-1</f>
        <v>-14.930656934306569</v>
      </c>
      <c r="F105" s="15">
        <f>(F106/E106)-1</f>
        <v>-0.44197013361278492</v>
      </c>
      <c r="G105" s="15">
        <f>(G106/F106)-1</f>
        <v>-4.9995305164319248</v>
      </c>
      <c r="H105" s="15">
        <f t="shared" ref="H105:M105" si="8">(H106/G106)-1</f>
        <v>2.1695034628477519</v>
      </c>
      <c r="I105" s="15">
        <f t="shared" si="8"/>
        <v>1.2425836080145181</v>
      </c>
      <c r="J105" s="15">
        <f t="shared" si="8"/>
        <v>0.38079667063020217</v>
      </c>
      <c r="K105" s="15">
        <f t="shared" si="8"/>
        <v>-0.1584499461786868</v>
      </c>
      <c r="L105" s="15">
        <f t="shared" si="8"/>
        <v>0.23354935902902141</v>
      </c>
      <c r="M105" s="15">
        <f t="shared" si="8"/>
        <v>0.18058643931102014</v>
      </c>
      <c r="N105" s="15"/>
      <c r="O105" s="15"/>
      <c r="P105" s="15"/>
      <c r="Q105" s="15"/>
      <c r="R105" s="15"/>
      <c r="S105" s="15"/>
      <c r="T105" s="25" t="s">
        <v>108</v>
      </c>
      <c r="U105" s="26">
        <f>(U100*U92)+(U102*U97)</f>
        <v>8.7070988676257274E-2</v>
      </c>
    </row>
    <row r="106" spans="1:21" ht="19" x14ac:dyDescent="0.25">
      <c r="A106" s="5" t="s">
        <v>90</v>
      </c>
      <c r="B106" s="1">
        <v>289000</v>
      </c>
      <c r="C106" s="1">
        <v>1402000</v>
      </c>
      <c r="D106" s="1">
        <v>274000</v>
      </c>
      <c r="E106" s="1">
        <v>-3817000</v>
      </c>
      <c r="F106" s="1">
        <v>-2130000</v>
      </c>
      <c r="G106" s="1">
        <v>8519000</v>
      </c>
      <c r="H106" s="1">
        <v>27001000</v>
      </c>
      <c r="I106" s="1">
        <v>60552000</v>
      </c>
      <c r="J106" s="1">
        <v>83610000</v>
      </c>
      <c r="K106" s="1">
        <v>70362000</v>
      </c>
      <c r="L106" s="1">
        <v>86795000</v>
      </c>
      <c r="M106" s="1">
        <v>102469000</v>
      </c>
      <c r="N106" s="40">
        <f>M106*(1+$U$106)</f>
        <v>124840738.10783446</v>
      </c>
      <c r="O106" s="40">
        <f t="shared" ref="O106:R106" si="9">N106*(1+$U$106)</f>
        <v>152096828.22423279</v>
      </c>
      <c r="P106" s="40">
        <f t="shared" si="9"/>
        <v>185303655.73367292</v>
      </c>
      <c r="Q106" s="40">
        <f t="shared" si="9"/>
        <v>225760426.62533817</v>
      </c>
      <c r="R106" s="40">
        <f t="shared" si="9"/>
        <v>275049998.49170792</v>
      </c>
      <c r="S106" s="41" t="s">
        <v>142</v>
      </c>
      <c r="T106" s="42" t="s">
        <v>143</v>
      </c>
      <c r="U106" s="43">
        <f>(SUM(N4:R4)/5)</f>
        <v>0.21832689016028711</v>
      </c>
    </row>
    <row r="107" spans="1:21" ht="19" x14ac:dyDescent="0.25">
      <c r="A107" s="5"/>
      <c r="B107" s="13"/>
      <c r="C107" s="13"/>
      <c r="D107" s="13"/>
      <c r="E107" s="13"/>
      <c r="F107" s="13"/>
      <c r="G107" s="13"/>
      <c r="H107" s="13"/>
      <c r="I107" s="13"/>
      <c r="J107" s="13"/>
      <c r="K107" s="13"/>
      <c r="L107" s="13"/>
      <c r="M107" s="13"/>
      <c r="N107" s="41"/>
      <c r="O107" s="41"/>
      <c r="P107" s="41"/>
      <c r="Q107" s="41"/>
      <c r="R107" s="44">
        <f>R106*(1+U107)/(U108-U107)</f>
        <v>4541997066.0438347</v>
      </c>
      <c r="S107" s="45" t="s">
        <v>144</v>
      </c>
      <c r="T107" s="46" t="s">
        <v>145</v>
      </c>
      <c r="U107" s="47">
        <v>2.5000000000000001E-2</v>
      </c>
    </row>
    <row r="108" spans="1:21" ht="19" x14ac:dyDescent="0.25">
      <c r="N108" s="44">
        <f t="shared" ref="N108:P108" si="10">N107+N106</f>
        <v>124840738.10783446</v>
      </c>
      <c r="O108" s="44">
        <f t="shared" si="10"/>
        <v>152096828.22423279</v>
      </c>
      <c r="P108" s="44">
        <f t="shared" si="10"/>
        <v>185303655.73367292</v>
      </c>
      <c r="Q108" s="44">
        <f>Q107+Q106</f>
        <v>225760426.62533817</v>
      </c>
      <c r="R108" s="44">
        <f>R107+R106</f>
        <v>4817047064.5355425</v>
      </c>
      <c r="S108" s="45" t="s">
        <v>140</v>
      </c>
      <c r="T108" s="48" t="s">
        <v>146</v>
      </c>
      <c r="U108" s="49">
        <f>U105</f>
        <v>8.7070988676257274E-2</v>
      </c>
    </row>
    <row r="109" spans="1:21" ht="19" x14ac:dyDescent="0.25">
      <c r="N109" s="65" t="s">
        <v>147</v>
      </c>
      <c r="O109" s="66"/>
    </row>
    <row r="110" spans="1:21" ht="20" x14ac:dyDescent="0.25">
      <c r="N110" s="50" t="s">
        <v>148</v>
      </c>
      <c r="O110" s="38">
        <f>NPV(U108,N108,O108,P108,Q108,R108)</f>
        <v>3722617803.2355113</v>
      </c>
    </row>
    <row r="111" spans="1:21" ht="20" x14ac:dyDescent="0.25">
      <c r="N111" s="50" t="s">
        <v>149</v>
      </c>
      <c r="O111" s="38">
        <f>M40</f>
        <v>144212000</v>
      </c>
    </row>
    <row r="112" spans="1:21" ht="20" x14ac:dyDescent="0.25">
      <c r="N112" s="50" t="s">
        <v>136</v>
      </c>
      <c r="O112" s="38">
        <f>U99</f>
        <v>77518000</v>
      </c>
    </row>
    <row r="113" spans="14:15" ht="20" x14ac:dyDescent="0.25">
      <c r="N113" s="50" t="s">
        <v>150</v>
      </c>
      <c r="O113" s="38">
        <f>O110+O111-O112</f>
        <v>3789311803.2355113</v>
      </c>
    </row>
    <row r="114" spans="14:15" ht="20" x14ac:dyDescent="0.25">
      <c r="N114" s="50" t="s">
        <v>151</v>
      </c>
      <c r="O114" s="51">
        <f>M34*(1+(5*S16))</f>
        <v>58611894.143212736</v>
      </c>
    </row>
    <row r="115" spans="14:15" ht="20" x14ac:dyDescent="0.25">
      <c r="N115" s="52" t="s">
        <v>152</v>
      </c>
      <c r="O115" s="53">
        <f>O113/O114</f>
        <v>64.650901640828721</v>
      </c>
    </row>
    <row r="116" spans="14:15" ht="20" x14ac:dyDescent="0.25">
      <c r="N116" s="50" t="s">
        <v>153</v>
      </c>
      <c r="O116" s="54" cm="1">
        <f t="array" ref="O116">_FV(A1,"Price")</f>
        <v>169.58</v>
      </c>
    </row>
    <row r="117" spans="14:15" ht="20" x14ac:dyDescent="0.25">
      <c r="N117" s="55" t="s">
        <v>154</v>
      </c>
      <c r="O117" s="56">
        <f>O115/O116-1</f>
        <v>-0.61875868828382641</v>
      </c>
    </row>
    <row r="118" spans="14:15" ht="20" x14ac:dyDescent="0.25">
      <c r="N118" s="55" t="s">
        <v>155</v>
      </c>
      <c r="O118" s="57" t="str">
        <f>IF(O115&gt;O116,"BUY","SELL")</f>
        <v>SELL</v>
      </c>
    </row>
  </sheetData>
  <mergeCells count="6">
    <mergeCell ref="N109:O109"/>
    <mergeCell ref="T83:U83"/>
    <mergeCell ref="T84:U84"/>
    <mergeCell ref="T93:U93"/>
    <mergeCell ref="T98:U98"/>
    <mergeCell ref="T104:U104"/>
  </mergeCells>
  <hyperlinks>
    <hyperlink ref="A1" r:id="rId1" tooltip="https://roic.ai/company/PCTY" display="ROIC.AI | PCT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91698/000110465914062738/0001104659-14-062738-index.html" xr:uid="{00000000-0004-0000-0000-00000A000000}"/>
    <hyperlink ref="E74" r:id="rId9" tooltip="https://www.sec.gov/Archives/edgar/data/1591698/000110465914062738/0001104659-14-062738-index.html" xr:uid="{00000000-0004-0000-0000-00000B000000}"/>
    <hyperlink ref="F36" r:id="rId10" tooltip="https://www.sec.gov/Archives/edgar/data/1591698/000110465915060024/0001104659-15-060024-index.html" xr:uid="{00000000-0004-0000-0000-00000D000000}"/>
    <hyperlink ref="F74" r:id="rId11" tooltip="https://www.sec.gov/Archives/edgar/data/1591698/000110465915060024/0001104659-15-060024-index.html" xr:uid="{00000000-0004-0000-0000-00000E000000}"/>
    <hyperlink ref="G36" r:id="rId12" tooltip="https://www.sec.gov/Archives/edgar/data/1591698/000110465916139345/a16-12777_110k.htm" xr:uid="{00000000-0004-0000-0000-000010000000}"/>
    <hyperlink ref="G74" r:id="rId13" tooltip="https://www.sec.gov/Archives/edgar/data/1591698/000110465916139345/a16-12777_110k.htm" xr:uid="{00000000-0004-0000-0000-000011000000}"/>
    <hyperlink ref="H36" r:id="rId14" tooltip="https://www.sec.gov/Archives/edgar/data/1591698/000155837017006561/0001558370-17-006561-index.html" xr:uid="{00000000-0004-0000-0000-000013000000}"/>
    <hyperlink ref="H74" r:id="rId15" tooltip="https://www.sec.gov/Archives/edgar/data/1591698/000155837017006561/0001558370-17-006561-index.html" xr:uid="{00000000-0004-0000-0000-000014000000}"/>
    <hyperlink ref="I36" r:id="rId16" tooltip="https://www.sec.gov/Archives/edgar/data/1591698/000155837018006955/0001558370-18-006955-index.html" xr:uid="{00000000-0004-0000-0000-000016000000}"/>
    <hyperlink ref="I74" r:id="rId17" tooltip="https://www.sec.gov/Archives/edgar/data/1591698/000155837018006955/0001558370-18-006955-index.html" xr:uid="{00000000-0004-0000-0000-000017000000}"/>
    <hyperlink ref="J36" r:id="rId18" tooltip="https://www.sec.gov/Archives/edgar/data/1591698/000155837019007859/0001558370-19-007859-index.html" xr:uid="{00000000-0004-0000-0000-000019000000}"/>
    <hyperlink ref="J74" r:id="rId19" tooltip="https://www.sec.gov/Archives/edgar/data/1591698/000155837019007859/0001558370-19-007859-index.html" xr:uid="{00000000-0004-0000-0000-00001A000000}"/>
    <hyperlink ref="K36" r:id="rId20" tooltip="https://www.sec.gov/Archives/edgar/data/1591698/000155837020009960/0001558370-20-009960-index.htm" xr:uid="{00000000-0004-0000-0000-00001C000000}"/>
    <hyperlink ref="K74" r:id="rId21" tooltip="https://www.sec.gov/Archives/edgar/data/1591698/000155837020009960/0001558370-20-009960-index.htm" xr:uid="{00000000-0004-0000-0000-00001D000000}"/>
    <hyperlink ref="L36" r:id="rId22" tooltip="https://www.sec.gov/Archives/edgar/data/1591698/000155837021010711/0001558370-21-010711-index.htm" xr:uid="{00000000-0004-0000-0000-00001F000000}"/>
    <hyperlink ref="L74" r:id="rId23" tooltip="https://www.sec.gov/Archives/edgar/data/1591698/000155837021010711/0001558370-21-010711-index.htm" xr:uid="{00000000-0004-0000-0000-000020000000}"/>
    <hyperlink ref="M36" r:id="rId24" tooltip="https://www.sec.gov/Archives/edgar/data/1591698/000159169822000094/0001591698-22-000094-index.htm" xr:uid="{00000000-0004-0000-0000-000022000000}"/>
    <hyperlink ref="M74" r:id="rId25" tooltip="https://www.sec.gov/Archives/edgar/data/1591698/000159169822000094/0001591698-22-000094-index.htm" xr:uid="{00000000-0004-0000-0000-000023000000}"/>
    <hyperlink ref="N1" r:id="rId26" display="https://finbox.com/NASDAQGS:PCTY/explorer/revenue_proj" xr:uid="{CE110DA2-E1B4-F948-B898-0326D865C337}"/>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2023-03-12T21:55:44Z</dcterms:created>
  <dcterms:modified xsi:type="dcterms:W3CDTF">2023-05-10T04:11:56Z</dcterms:modified>
</cp:coreProperties>
</file>