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D245300E-BBD8-D148-A2E7-824A6EF7FC29}" xr6:coauthVersionLast="47" xr6:coauthVersionMax="47" xr10:uidLastSave="{00000000-0000-0000-0000-000000000000}"/>
  <bookViews>
    <workbookView xWindow="18140" yWindow="500" windowWidth="22780" windowHeight="225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G106" i="1"/>
  <c r="H116" i="1" a="1"/>
  <c r="H116" i="1" s="1"/>
  <c r="H111" i="1"/>
  <c r="N101" i="1" a="1"/>
  <c r="N101" i="1" s="1"/>
  <c r="N95" i="1" a="1"/>
  <c r="N95" i="1" s="1"/>
  <c r="N97" i="1" s="1"/>
  <c r="N90" i="1"/>
  <c r="N89" i="1"/>
  <c r="N91" i="1" s="1"/>
  <c r="N87" i="1"/>
  <c r="N86" i="1"/>
  <c r="N99" i="1" s="1"/>
  <c r="N85" i="1"/>
  <c r="N88" i="1" s="1"/>
  <c r="L19" i="1"/>
  <c r="L16" i="1"/>
  <c r="O13" i="1"/>
  <c r="N13" i="1"/>
  <c r="M13" i="1"/>
  <c r="L13" i="1"/>
  <c r="O10" i="1"/>
  <c r="N10" i="1"/>
  <c r="M10" i="1"/>
  <c r="L10" i="1"/>
  <c r="O7" i="1"/>
  <c r="N7" i="1"/>
  <c r="M7" i="1"/>
  <c r="L7" i="1"/>
  <c r="O4" i="1"/>
  <c r="N4" i="1"/>
  <c r="M4" i="1"/>
  <c r="L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106" i="1" l="1"/>
  <c r="H106" i="1" s="1"/>
  <c r="O16" i="1"/>
  <c r="M16" i="1"/>
  <c r="N16" i="1"/>
  <c r="G108" i="1"/>
  <c r="N92" i="1"/>
  <c r="N103" i="1"/>
  <c r="N100" i="1" s="1"/>
  <c r="H112" i="1"/>
  <c r="I106" i="1" l="1"/>
  <c r="H108" i="1"/>
  <c r="N102" i="1"/>
  <c r="N105" i="1" s="1"/>
  <c r="N108" i="1" s="1"/>
  <c r="J106" i="1" l="1"/>
  <c r="I108" i="1"/>
  <c r="K106" i="1" l="1"/>
  <c r="K107" i="1" s="1"/>
  <c r="K108" i="1" s="1"/>
  <c r="J108" i="1"/>
  <c r="H110" i="1" l="1"/>
  <c r="H113" i="1" s="1"/>
  <c r="H115" i="1" s="1"/>
  <c r="H118" i="1" s="1"/>
  <c r="H117" i="1" l="1"/>
  <c r="F30" i="1"/>
  <c r="F26" i="1"/>
  <c r="F23" i="1"/>
  <c r="F21" i="1"/>
  <c r="F6" i="1"/>
  <c r="F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<sst xmlns="http://schemas.openxmlformats.org/spreadsheetml/2006/main" count="258" uniqueCount="160">
  <si>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</si>
  <si>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</si>
  <si>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</si>
  <si>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</si>
  <si>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</si>
  <si>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</si>
  <si>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</si>
  <si>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</si>
  <si>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</si>
  <si>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</si>
  <si>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</si>
  <si>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</si>
  <si>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</si>
  <si>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</si>
  <si>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</si>
  <si>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</si>
  <si>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</si>
  <si>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</si>
  <si>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</si>
  <si>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</si>
  <si>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</si>
  <si>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</si>
  <si>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</si>
  <si>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</si>
  <si>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</si>
  <si>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</si>
  <si>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</si>
  <si>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</si>
  <si>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</si>
  <si>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</si>
  <si>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</si>
  <si>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</si>
  <si>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</si>
  <si>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</si>
  <si>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</si>
  <si>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</si>
  <si>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</si>
  <si>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</si>
  <si>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</si>
  <si>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</si>
  <si>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</si>
  <si>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</si>
  <si>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</si>
  <si>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</si>
  <si>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</si>
  <si>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</si>
  <si>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</si>
  <si>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</si>
  <si>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</si>
  <si>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</si>
  <si>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</si>
  <si>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</si>
  <si>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</si>
  <si>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</si>
  <si>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</si>
  <si>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</si>
  <si>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</si>
  <si>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</si>
  <si>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</si>
  <si>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</si>
  <si>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</si>
  <si>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</si>
  <si>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</si>
  <si>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</si>
  <si>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</si>
  <si>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</si>
  <si>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</si>
  <si>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</si>
  <si>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</si>
  <si>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</si>
  <si>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</si>
  <si>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</si>
  <si>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</si>
  <si>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</si>
  <si>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</si>
  <si>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</si>
  <si>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</si>
  <si>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</si>
  <si>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</si>
  <si>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</si>
  <si>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</si>
  <si>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</si>
  <si>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</si>
  <si>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</si>
  <si>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</si>
  <si>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</si>
  <si>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</si>
  <si>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</si>
  <si>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</si>
  <si>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</si>
  <si>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</si>
  <si>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</si>
  <si>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</si>
  <si>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</si>
  <si>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</si>
  <si>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</si>
  <si>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</si>
  <si>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</si>
  <si>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</si>
  <si>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</si>
  <si>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</si>
  <si>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</si>
  <si>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</si>
  <si>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</si>
  <si>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</si>
  <si>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</si>
  <si>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</si>
  <si>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</si>
  <si>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</si>
  <si>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</si>
  <si>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</si>
  <si>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</si>
  <si>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</si>
  <si>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</si>
  <si>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</si>
  <si>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</si>
  <si>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</si>
  <si>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</si>
  <si>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</si>
  <si>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</si>
  <si>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</si>
  <si>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</si>
  <si>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</si>
  <si>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</si>
  <si>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</si>
  <si>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</si>
  <si>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</si>
  <si>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</si>
  <si>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</si>
  <si>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</si>
  <si>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</si>
  <si>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</si>
  <si>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</si>
  <si>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</si>
  <si>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</si>
  <si>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</si>
  <si>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</si>
  <si>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</si>
  <si>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</si>
  <si>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</si>
  <si>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</si>
  <si>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</si>
  <si>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</si>
  <si>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</si>
  <si>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</si>
  <si>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</si>
  <si>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</si>
  <si>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</si>
  <si>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</si>
  <si>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</si>
  <si>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</si>
  <si>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</si>
  <si>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</si>
  <si>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</si>
  <si>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</si>
  <si>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 (5% dilution)</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</si>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</sst>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FOUR</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742148760330579E-2"/>
          <c:y val="0.12100655203219693"/>
          <c:w val="0.8580760330578513"/>
          <c:h val="0.7222085632961718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560600000</c:v>
                </c:pt>
                <c:pt idx="1">
                  <c:v>731400000</c:v>
                </c:pt>
                <c:pt idx="2">
                  <c:v>766900000</c:v>
                </c:pt>
                <c:pt idx="3">
                  <c:v>1367500000</c:v>
                </c:pt>
                <c:pt idx="4">
                  <c:v>1993600000</c:v>
                </c:pt>
              </c:numCache>
            </c:numRef>
          </c:val>
          <c:extLst>
            <c:ext xmlns:c16="http://schemas.microsoft.com/office/drawing/2014/chart" uri="{C3380CC4-5D6E-409C-BE32-E72D297353CC}">
              <c16:uniqueId val="{00000000-2B9F-954A-A3B0-A438491AE49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59500000</c:v>
                </c:pt>
                <c:pt idx="1">
                  <c:v>58100000</c:v>
                </c:pt>
                <c:pt idx="2">
                  <c:v>103600000</c:v>
                </c:pt>
                <c:pt idx="3">
                  <c:v>81100000</c:v>
                </c:pt>
                <c:pt idx="4">
                  <c:v>256900000</c:v>
                </c:pt>
              </c:numCache>
            </c:numRef>
          </c:val>
          <c:extLst>
            <c:ext xmlns:c16="http://schemas.microsoft.com/office/drawing/2014/chart" uri="{C3380CC4-5D6E-409C-BE32-E72D297353CC}">
              <c16:uniqueId val="{00000001-2B9F-954A-A3B0-A438491AE49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19900000</c:v>
                </c:pt>
                <c:pt idx="1">
                  <c:v>10100000</c:v>
                </c:pt>
                <c:pt idx="2">
                  <c:v>-5600000</c:v>
                </c:pt>
                <c:pt idx="3">
                  <c:v>-82500000</c:v>
                </c:pt>
                <c:pt idx="4">
                  <c:v>224700000</c:v>
                </c:pt>
              </c:numCache>
            </c:numRef>
          </c:val>
          <c:extLst>
            <c:ext xmlns:c16="http://schemas.microsoft.com/office/drawing/2014/chart" uri="{C3380CC4-5D6E-409C-BE32-E72D297353CC}">
              <c16:uniqueId val="{00000002-2B9F-954A-A3B0-A438491AE49C}"/>
            </c:ext>
          </c:extLst>
        </c:ser>
        <c:dLbls>
          <c:showLegendKey val="0"/>
          <c:showVal val="0"/>
          <c:showCatName val="0"/>
          <c:showSerName val="0"/>
          <c:showPercent val="0"/>
          <c:showBubbleSize val="0"/>
        </c:dLbls>
        <c:gapWidth val="100"/>
        <c:overlap val="-24"/>
        <c:axId val="1907801423"/>
        <c:axId val="1907803423"/>
      </c:barChart>
      <c:catAx>
        <c:axId val="19078014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7803423"/>
        <c:crosses val="autoZero"/>
        <c:auto val="1"/>
        <c:lblAlgn val="ctr"/>
        <c:lblOffset val="100"/>
        <c:noMultiLvlLbl val="0"/>
      </c:catAx>
      <c:valAx>
        <c:axId val="190780342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07801423"/>
        <c:crosses val="autoZero"/>
        <c:crossBetween val="between"/>
      </c:valAx>
      <c:spPr>
        <a:noFill/>
        <a:ln>
          <a:noFill/>
        </a:ln>
        <a:effectLst/>
      </c:spPr>
    </c:plotArea>
    <c:legend>
      <c:legendPos val="b"/>
      <c:layout>
        <c:manualLayout>
          <c:xMode val="edge"/>
          <c:yMode val="edge"/>
          <c:x val="0.3590515780568751"/>
          <c:y val="0.92022459140160295"/>
          <c:w val="0.30305376456042166"/>
          <c:h val="5.031851713544487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108</xdr:row>
      <xdr:rowOff>33338</xdr:rowOff>
    </xdr:from>
    <xdr:to>
      <xdr:col>13</xdr:col>
      <xdr:colOff>1603374</xdr:colOff>
      <xdr:row>131</xdr:row>
      <xdr:rowOff>0</xdr:rowOff>
    </xdr:to>
    <xdr:graphicFrame macro="">
      <xdr:nvGraphicFramePr>
        <xdr:cNvPr id="2" name="Chart 1">
          <a:extLst>
            <a:ext uri="{FF2B5EF4-FFF2-40B4-BE49-F238E27FC236}">
              <a16:creationId xmlns:a16="http://schemas.microsoft.com/office/drawing/2014/main" id="{EEA45EAD-BCFF-37A7-2116-2F1CEA1871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https://www.bing.com/financeapi/forcetrigger?t=bumqbh&amp;q=XNYS%3aFOUR&amp;form=skydnc</v>
    <v>Learn more on Bing</v>
  </rv>
  <rv s="1">
    <v>0</v>
    <v>Shift4 Payments Inc (XNYS:FOUR)</v>
    <v>2</v>
    <v>3</v>
    <v>Finance</v>
    <v>4</v>
    <v>en-US</v>
    <v>bumqbh</v>
    <v>268435456</v>
    <v>1</v>
    <v>Powered by Refinitiv</v>
    <v>76.400000000000006</v>
    <v>29.39</v>
    <v>1.8180000000000001</v>
    <v>2.12</v>
    <v>3.2500000000000001E-2</v>
    <v>0.59</v>
    <v>8.737E-3</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68.3</v>
    <v>Professional &amp; Commercial Services</v>
    <v>Stock</v>
    <v>45068.882585578125</v>
    <v>0</v>
    <v>64.97</v>
    <v>5603150922</v>
    <v>Shift4 Payments Inc</v>
    <v>Shift4 Payments Inc</v>
    <v>65.069999999999993</v>
    <v>55.559800000000003</v>
    <v>65.23</v>
    <v>67.349999999999994</v>
    <v>68.12</v>
    <v>83194520</v>
    <v>FOUR</v>
    <v>Shift4 Payments Inc (XNYS:FOUR)</v>
    <v>922528</v>
    <v>1841919</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94669/000179466922000012/0001794669-22-000012-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94669/000156459021011368/0001564590-21-011368-index.htm" TargetMode="External"/><Relationship Id="rId12" Type="http://schemas.openxmlformats.org/officeDocument/2006/relationships/hyperlink" Target="https://finbox.com/NYSE:FOUR/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FOUR" TargetMode="External"/><Relationship Id="rId6" Type="http://schemas.openxmlformats.org/officeDocument/2006/relationships/hyperlink" Target="https://www.sec.gov/Archives/edgar/data/1794669/000156459021011368/0001564590-21-011368-index.htm" TargetMode="External"/><Relationship Id="rId11" Type="http://schemas.openxmlformats.org/officeDocument/2006/relationships/hyperlink" Target="https://www.sec.gov/Archives/edgar/data/1794669/000179466923000006/0001794669-23-000006-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94669/000179466923000006/0001794669-23-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94669/000179466922000012/0001794669-22-0000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I61" activePane="bottomRight" state="frozen"/>
      <selection pane="topRight"/>
      <selection pane="bottomLeft"/>
      <selection pane="bottomRight" activeCell="L135" sqref="L135"/>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560600000</v>
      </c>
      <c r="C3" s="1">
        <v>731400000</v>
      </c>
      <c r="D3" s="1">
        <v>766900000</v>
      </c>
      <c r="E3" s="1">
        <v>1367500000</v>
      </c>
      <c r="F3" s="1">
        <v>1993600000</v>
      </c>
      <c r="G3" s="29">
        <v>2631000000</v>
      </c>
      <c r="H3" s="29">
        <v>3505000000</v>
      </c>
      <c r="I3" s="29">
        <v>4700000000</v>
      </c>
      <c r="J3" s="29">
        <v>5453000000</v>
      </c>
      <c r="K3" s="29">
        <v>6135000000</v>
      </c>
      <c r="L3" s="19" t="s">
        <v>109</v>
      </c>
      <c r="M3" s="20" t="s">
        <v>110</v>
      </c>
      <c r="N3" s="20" t="s">
        <v>111</v>
      </c>
      <c r="O3" s="20" t="s">
        <v>112</v>
      </c>
    </row>
    <row r="4" spans="1:38" ht="19" x14ac:dyDescent="0.25">
      <c r="A4" s="14" t="s">
        <v>94</v>
      </c>
      <c r="B4" s="1"/>
      <c r="C4" s="15">
        <f>(C3/B3)-1</f>
        <v>0.30467356403853008</v>
      </c>
      <c r="D4" s="15">
        <f>(D3/C3)-1</f>
        <v>4.8537052228602606E-2</v>
      </c>
      <c r="E4" s="15">
        <f>(E3/D3)-1</f>
        <v>0.78315295344895031</v>
      </c>
      <c r="F4" s="15">
        <f t="shared" ref="F4:K4" si="0">(F3/E3)-1</f>
        <v>0.45784277879341873</v>
      </c>
      <c r="G4" s="16">
        <f t="shared" si="0"/>
        <v>0.319723113964687</v>
      </c>
      <c r="H4" s="16">
        <f t="shared" si="0"/>
        <v>0.33219308247814516</v>
      </c>
      <c r="I4" s="16">
        <f t="shared" si="0"/>
        <v>0.34094151212553503</v>
      </c>
      <c r="J4" s="16">
        <f t="shared" si="0"/>
        <v>0.16021276595744682</v>
      </c>
      <c r="K4" s="16">
        <f t="shared" si="0"/>
        <v>0.12506876948468726</v>
      </c>
      <c r="L4" s="17">
        <f>(F4+E4+D4)/3</f>
        <v>0.4298442614903239</v>
      </c>
      <c r="M4" s="17">
        <f>(F20+E20+D20)/3</f>
        <v>0.91121508920819616</v>
      </c>
      <c r="N4" s="17">
        <f>(F29+E29+D29)/3</f>
        <v>-0.54061023869193947</v>
      </c>
      <c r="O4" s="17">
        <f>(F105+E105+D105)/3</f>
        <v>2.8180170159873135</v>
      </c>
      <c r="S4" s="16"/>
      <c r="T4" s="16"/>
      <c r="U4" s="16"/>
      <c r="V4" s="16"/>
      <c r="W4" s="16"/>
      <c r="X4" s="16"/>
      <c r="Y4" s="16"/>
      <c r="Z4" s="16"/>
      <c r="AA4" s="16"/>
      <c r="AB4" s="16"/>
      <c r="AC4" s="16"/>
      <c r="AD4" s="16"/>
      <c r="AE4" s="16"/>
      <c r="AF4" s="16"/>
      <c r="AI4" s="18"/>
      <c r="AJ4" s="18"/>
      <c r="AK4" s="18"/>
      <c r="AL4" s="18"/>
    </row>
    <row r="5" spans="1:38" ht="19" x14ac:dyDescent="0.25">
      <c r="A5" s="5" t="s">
        <v>2</v>
      </c>
      <c r="B5" s="1">
        <v>410200000</v>
      </c>
      <c r="C5" s="1">
        <v>552400000</v>
      </c>
      <c r="D5" s="1">
        <v>589100000</v>
      </c>
      <c r="E5" s="1">
        <v>1089100000</v>
      </c>
      <c r="F5" s="1">
        <v>1523400000</v>
      </c>
    </row>
    <row r="6" spans="1:38" ht="20" x14ac:dyDescent="0.25">
      <c r="A6" s="6" t="s">
        <v>3</v>
      </c>
      <c r="B6" s="10">
        <v>150400000</v>
      </c>
      <c r="C6" s="10">
        <v>179000000</v>
      </c>
      <c r="D6" s="10">
        <v>177800000</v>
      </c>
      <c r="E6" s="10">
        <v>278400000</v>
      </c>
      <c r="F6" s="10">
        <f>F3-F5</f>
        <v>470200000</v>
      </c>
      <c r="L6" s="19" t="s">
        <v>113</v>
      </c>
      <c r="M6" s="20" t="s">
        <v>114</v>
      </c>
      <c r="N6" s="20" t="s">
        <v>115</v>
      </c>
      <c r="O6" s="20" t="s">
        <v>116</v>
      </c>
    </row>
    <row r="7" spans="1:38" ht="19" x14ac:dyDescent="0.25">
      <c r="A7" s="5" t="s">
        <v>4</v>
      </c>
      <c r="B7" s="2">
        <v>0.26829999999999998</v>
      </c>
      <c r="C7" s="2">
        <v>0.2447</v>
      </c>
      <c r="D7" s="2">
        <v>0.23180000000000001</v>
      </c>
      <c r="E7" s="2">
        <v>0.2036</v>
      </c>
      <c r="F7" s="2">
        <f>F6/F3</f>
        <v>0.23585473515248795</v>
      </c>
      <c r="L7" s="17">
        <f>F7</f>
        <v>0.23585473515248795</v>
      </c>
      <c r="M7" s="21">
        <f>F21</f>
        <v>0.1288623595505618</v>
      </c>
      <c r="N7" s="21">
        <f>F30</f>
        <v>3.7670545746388444E-2</v>
      </c>
      <c r="O7" s="21">
        <f>F106/F3</f>
        <v>0.11271067415730338</v>
      </c>
    </row>
    <row r="8" spans="1:38" ht="19" x14ac:dyDescent="0.25">
      <c r="A8" s="5" t="s">
        <v>5</v>
      </c>
      <c r="B8" s="1" t="s">
        <v>92</v>
      </c>
      <c r="C8" s="1" t="s">
        <v>92</v>
      </c>
      <c r="D8" s="1" t="s">
        <v>92</v>
      </c>
      <c r="E8" s="1" t="s">
        <v>92</v>
      </c>
      <c r="F8" s="1" t="s">
        <v>92</v>
      </c>
    </row>
    <row r="9" spans="1:38" ht="19" customHeight="1" x14ac:dyDescent="0.25">
      <c r="A9" s="14" t="s">
        <v>95</v>
      </c>
      <c r="B9" s="15" t="e">
        <f>B8/B3</f>
        <v>#VALUE!</v>
      </c>
      <c r="C9" s="15" t="e">
        <f t="shared" ref="C9:F9" si="1">C8/C3</f>
        <v>#VALUE!</v>
      </c>
      <c r="D9" s="15" t="e">
        <f t="shared" si="1"/>
        <v>#VALUE!</v>
      </c>
      <c r="E9" s="15" t="e">
        <f t="shared" si="1"/>
        <v>#VALUE!</v>
      </c>
      <c r="F9" s="15" t="e">
        <f t="shared" si="1"/>
        <v>#VALUE!</v>
      </c>
      <c r="G9" s="15"/>
      <c r="H9" s="15"/>
      <c r="L9" s="19" t="s">
        <v>96</v>
      </c>
      <c r="M9" s="20" t="s">
        <v>97</v>
      </c>
      <c r="N9" s="20" t="s">
        <v>98</v>
      </c>
      <c r="O9" s="20" t="s">
        <v>99</v>
      </c>
    </row>
    <row r="10" spans="1:38" ht="19" x14ac:dyDescent="0.25">
      <c r="A10" s="5" t="s">
        <v>6</v>
      </c>
      <c r="B10" s="1">
        <v>91100000</v>
      </c>
      <c r="C10" s="1">
        <v>134800000</v>
      </c>
      <c r="D10" s="1">
        <v>190700000</v>
      </c>
      <c r="E10" s="1">
        <v>236300000</v>
      </c>
      <c r="F10" s="1">
        <v>300700000</v>
      </c>
      <c r="L10" s="17" t="e">
        <f>F9</f>
        <v>#VALUE!</v>
      </c>
      <c r="M10" s="21">
        <f>F13</f>
        <v>0.15830658105939005</v>
      </c>
      <c r="N10" s="21">
        <f>F80</f>
        <v>2.4879614767255216E-2</v>
      </c>
      <c r="O10" s="21">
        <f>F89</f>
        <v>4.0128410914927765E-3</v>
      </c>
    </row>
    <row r="11" spans="1:38" ht="19" x14ac:dyDescent="0.25">
      <c r="A11" s="5" t="s">
        <v>7</v>
      </c>
      <c r="B11" s="1">
        <v>6100000</v>
      </c>
      <c r="C11" s="1">
        <v>6300000</v>
      </c>
      <c r="D11" s="1">
        <v>4000000</v>
      </c>
      <c r="E11" s="1">
        <v>28900000</v>
      </c>
      <c r="F11" s="1">
        <v>14900000</v>
      </c>
    </row>
    <row r="12" spans="1:38" ht="20" x14ac:dyDescent="0.25">
      <c r="A12" s="5" t="s">
        <v>8</v>
      </c>
      <c r="B12" s="1">
        <v>97200000</v>
      </c>
      <c r="C12" s="1">
        <v>141100000</v>
      </c>
      <c r="D12" s="1">
        <v>194700000</v>
      </c>
      <c r="E12" s="1">
        <v>265200000</v>
      </c>
      <c r="F12" s="1">
        <v>315600000</v>
      </c>
      <c r="L12" s="19" t="s">
        <v>117</v>
      </c>
      <c r="M12" s="20" t="s">
        <v>118</v>
      </c>
      <c r="N12" s="20" t="s">
        <v>119</v>
      </c>
      <c r="O12" s="20" t="s">
        <v>120</v>
      </c>
    </row>
    <row r="13" spans="1:38" ht="19" x14ac:dyDescent="0.25">
      <c r="A13" s="14" t="s">
        <v>100</v>
      </c>
      <c r="B13" s="15">
        <f>B12/B3</f>
        <v>0.17338565822333216</v>
      </c>
      <c r="C13" s="15">
        <f t="shared" ref="C13:F13" si="2">C12/C3</f>
        <v>0.19291769209734755</v>
      </c>
      <c r="D13" s="15">
        <f t="shared" si="2"/>
        <v>0.25387925414004431</v>
      </c>
      <c r="E13" s="15">
        <f t="shared" si="2"/>
        <v>0.19393053016453382</v>
      </c>
      <c r="F13" s="15">
        <f t="shared" si="2"/>
        <v>0.15830658105939005</v>
      </c>
      <c r="G13" s="15"/>
      <c r="H13" s="15"/>
      <c r="L13" s="17">
        <f>F28/F72</f>
        <v>0.21623956233803629</v>
      </c>
      <c r="M13" s="21">
        <f>F28/F54</f>
        <v>2.9404855129209085E-2</v>
      </c>
      <c r="N13" s="21">
        <f>F22/(F72+F56+F61)</f>
        <v>4.4832646877810918E-2</v>
      </c>
      <c r="O13" s="22">
        <f>F67/F72</f>
        <v>5.9700547077454651</v>
      </c>
    </row>
    <row r="14" spans="1:38" ht="19" x14ac:dyDescent="0.25">
      <c r="A14" s="5" t="s">
        <v>9</v>
      </c>
      <c r="B14" s="1">
        <v>40400000</v>
      </c>
      <c r="C14" s="1">
        <v>40200000</v>
      </c>
      <c r="D14" s="1">
        <v>39500000</v>
      </c>
      <c r="E14" s="1">
        <v>62200000</v>
      </c>
      <c r="F14" s="1">
        <v>96500000</v>
      </c>
    </row>
    <row r="15" spans="1:38" ht="20" x14ac:dyDescent="0.25">
      <c r="A15" s="5" t="s">
        <v>10</v>
      </c>
      <c r="B15" s="1">
        <v>137600000</v>
      </c>
      <c r="C15" s="1">
        <v>181300000</v>
      </c>
      <c r="D15" s="1">
        <v>234200000</v>
      </c>
      <c r="E15" s="1">
        <v>327400000</v>
      </c>
      <c r="F15" s="1">
        <v>315600000</v>
      </c>
      <c r="L15" s="19" t="s">
        <v>121</v>
      </c>
      <c r="M15" s="20" t="s">
        <v>122</v>
      </c>
      <c r="N15" s="20" t="s">
        <v>123</v>
      </c>
      <c r="O15" s="20" t="s">
        <v>124</v>
      </c>
    </row>
    <row r="16" spans="1:38" ht="19" x14ac:dyDescent="0.25">
      <c r="A16" s="5" t="s">
        <v>11</v>
      </c>
      <c r="B16" s="1">
        <v>547800000</v>
      </c>
      <c r="C16" s="1">
        <v>733700000</v>
      </c>
      <c r="D16" s="1">
        <v>823300000</v>
      </c>
      <c r="E16" s="1">
        <v>1416500000</v>
      </c>
      <c r="F16" s="1">
        <v>1839000000</v>
      </c>
      <c r="L16" s="30">
        <f>(F35+E35+D35+C35+B35)/5</f>
        <v>0.16139928023654668</v>
      </c>
      <c r="M16" s="31">
        <f>N101/F3</f>
        <v>2.8105692827046549</v>
      </c>
      <c r="N16" s="31">
        <f>N101/F28</f>
        <v>74.609200026631157</v>
      </c>
      <c r="O16" s="32">
        <f>N101/F106</f>
        <v>24.936141174899866</v>
      </c>
    </row>
    <row r="17" spans="1:12" ht="19" x14ac:dyDescent="0.25">
      <c r="A17" s="5" t="s">
        <v>12</v>
      </c>
      <c r="B17" s="1">
        <v>47000000</v>
      </c>
      <c r="C17" s="1">
        <v>51500000</v>
      </c>
      <c r="D17" s="1">
        <v>40200000</v>
      </c>
      <c r="E17" s="1">
        <v>28000000</v>
      </c>
      <c r="F17" s="1">
        <v>32500000</v>
      </c>
    </row>
    <row r="18" spans="1:12" ht="20" x14ac:dyDescent="0.25">
      <c r="A18" s="5" t="s">
        <v>13</v>
      </c>
      <c r="B18" s="1">
        <v>66200000</v>
      </c>
      <c r="C18" s="1">
        <v>63200000</v>
      </c>
      <c r="D18" s="1">
        <v>84200000</v>
      </c>
      <c r="E18" s="1">
        <v>104400000</v>
      </c>
      <c r="F18" s="1">
        <v>149100000</v>
      </c>
      <c r="L18" s="19" t="s">
        <v>125</v>
      </c>
    </row>
    <row r="19" spans="1:12" ht="19" x14ac:dyDescent="0.25">
      <c r="A19" s="6" t="s">
        <v>14</v>
      </c>
      <c r="B19" s="10">
        <v>59500000</v>
      </c>
      <c r="C19" s="10">
        <v>58100000</v>
      </c>
      <c r="D19" s="10">
        <v>103600000</v>
      </c>
      <c r="E19" s="10">
        <v>81100000</v>
      </c>
      <c r="F19" s="10">
        <v>256900000</v>
      </c>
      <c r="L19" s="33">
        <f>F40-F56-F61</f>
        <v>-988500000</v>
      </c>
    </row>
    <row r="20" spans="1:12" ht="19" customHeight="1" x14ac:dyDescent="0.25">
      <c r="A20" s="14" t="s">
        <v>101</v>
      </c>
      <c r="B20" s="1"/>
      <c r="C20" s="15">
        <f>(C19/B19)-1</f>
        <v>-2.352941176470591E-2</v>
      </c>
      <c r="D20" s="15">
        <f>(D19/C19)-1</f>
        <v>0.7831325301204819</v>
      </c>
      <c r="E20" s="15">
        <f>(E19/D19)-1</f>
        <v>-0.21718146718146714</v>
      </c>
      <c r="F20" s="15">
        <f t="shared" ref="F20" si="3">(F19/E19)-1</f>
        <v>2.1676942046855734</v>
      </c>
    </row>
    <row r="21" spans="1:12" ht="19" x14ac:dyDescent="0.25">
      <c r="A21" s="5" t="s">
        <v>15</v>
      </c>
      <c r="B21" s="2">
        <v>0.1061</v>
      </c>
      <c r="C21" s="2">
        <v>7.9399999999999998E-2</v>
      </c>
      <c r="D21" s="2">
        <v>0.1351</v>
      </c>
      <c r="E21" s="2">
        <v>5.9299999999999999E-2</v>
      </c>
      <c r="F21" s="2">
        <f>F19/F3</f>
        <v>0.1288623595505618</v>
      </c>
    </row>
    <row r="22" spans="1:12" ht="19" x14ac:dyDescent="0.25">
      <c r="A22" s="6" t="s">
        <v>16</v>
      </c>
      <c r="B22" s="10">
        <v>-13100000</v>
      </c>
      <c r="C22" s="10">
        <v>-6100000</v>
      </c>
      <c r="D22" s="10">
        <v>-57600000</v>
      </c>
      <c r="E22" s="10">
        <v>-49200000</v>
      </c>
      <c r="F22" s="10">
        <v>94700000</v>
      </c>
    </row>
    <row r="23" spans="1:12" ht="19" x14ac:dyDescent="0.25">
      <c r="A23" s="5" t="s">
        <v>17</v>
      </c>
      <c r="B23" s="2">
        <v>-2.3400000000000001E-2</v>
      </c>
      <c r="C23" s="2">
        <v>-8.3000000000000001E-3</v>
      </c>
      <c r="D23" s="2">
        <v>-7.51E-2</v>
      </c>
      <c r="E23" s="2">
        <v>-3.5999999999999997E-2</v>
      </c>
      <c r="F23" s="2">
        <f>F22/F3</f>
        <v>4.7502006420545743E-2</v>
      </c>
    </row>
    <row r="24" spans="1:12" ht="19" x14ac:dyDescent="0.25">
      <c r="A24" s="5" t="s">
        <v>18</v>
      </c>
      <c r="B24" s="1">
        <v>-40600000</v>
      </c>
      <c r="C24" s="1">
        <v>-50500000</v>
      </c>
      <c r="D24" s="1">
        <v>-56200000</v>
      </c>
      <c r="E24" s="1">
        <v>-27900000</v>
      </c>
      <c r="F24" s="1">
        <v>-7800000</v>
      </c>
    </row>
    <row r="25" spans="1:12" ht="19" x14ac:dyDescent="0.25">
      <c r="A25" s="6" t="s">
        <v>19</v>
      </c>
      <c r="B25" s="10">
        <v>-53700000</v>
      </c>
      <c r="C25" s="10">
        <v>-56600000</v>
      </c>
      <c r="D25" s="10">
        <v>-113800000</v>
      </c>
      <c r="E25" s="10">
        <v>-77100000</v>
      </c>
      <c r="F25" s="10">
        <v>86900000</v>
      </c>
    </row>
    <row r="26" spans="1:12" ht="19" x14ac:dyDescent="0.25">
      <c r="A26" s="5" t="s">
        <v>20</v>
      </c>
      <c r="B26" s="2">
        <v>-9.5799999999999996E-2</v>
      </c>
      <c r="C26" s="2">
        <v>-7.7399999999999997E-2</v>
      </c>
      <c r="D26" s="2">
        <v>-0.1484</v>
      </c>
      <c r="E26" s="2">
        <v>-5.6399999999999999E-2</v>
      </c>
      <c r="F26" s="2">
        <f>F25/F3</f>
        <v>4.3589486356340287E-2</v>
      </c>
    </row>
    <row r="27" spans="1:12" ht="19" x14ac:dyDescent="0.25">
      <c r="A27" s="5" t="s">
        <v>21</v>
      </c>
      <c r="B27" s="1">
        <v>-3800000</v>
      </c>
      <c r="C27" s="1">
        <v>1500000</v>
      </c>
      <c r="D27" s="1">
        <v>-2400000</v>
      </c>
      <c r="E27" s="1">
        <v>-3100000</v>
      </c>
      <c r="F27" s="1">
        <v>-200000</v>
      </c>
    </row>
    <row r="28" spans="1:12" ht="20" thickBot="1" x14ac:dyDescent="0.3">
      <c r="A28" s="7" t="s">
        <v>22</v>
      </c>
      <c r="B28" s="11">
        <v>-49900000</v>
      </c>
      <c r="C28" s="11">
        <v>-58100000</v>
      </c>
      <c r="D28" s="11">
        <v>-18400000</v>
      </c>
      <c r="E28" s="11">
        <v>-48200000</v>
      </c>
      <c r="F28" s="11">
        <v>75100000</v>
      </c>
    </row>
    <row r="29" spans="1:12" ht="20" customHeight="1" thickTop="1" x14ac:dyDescent="0.25">
      <c r="A29" s="14" t="s">
        <v>102</v>
      </c>
      <c r="B29" s="1"/>
      <c r="C29" s="15">
        <f>(C28/B28)-1</f>
        <v>0.1643286573146292</v>
      </c>
      <c r="D29" s="15">
        <f>(D28/C28)-1</f>
        <v>-0.68330464716006878</v>
      </c>
      <c r="E29" s="15">
        <f>(E28/D28)-1</f>
        <v>1.6195652173913042</v>
      </c>
      <c r="F29" s="15">
        <f>(F28/E28)-1</f>
        <v>-2.5580912863070537</v>
      </c>
    </row>
    <row r="30" spans="1:12" ht="19" x14ac:dyDescent="0.25">
      <c r="A30" s="5" t="s">
        <v>23</v>
      </c>
      <c r="B30" s="2">
        <v>-8.8999999999999996E-2</v>
      </c>
      <c r="C30" s="2">
        <v>-7.9399999999999998E-2</v>
      </c>
      <c r="D30" s="2">
        <v>-2.4E-2</v>
      </c>
      <c r="E30" s="2">
        <v>-3.5200000000000002E-2</v>
      </c>
      <c r="F30" s="2">
        <f>F28/F3</f>
        <v>3.7670545746388444E-2</v>
      </c>
    </row>
    <row r="31" spans="1:12" ht="19" x14ac:dyDescent="0.25">
      <c r="A31" s="5" t="s">
        <v>24</v>
      </c>
      <c r="B31" s="12">
        <v>-1.42</v>
      </c>
      <c r="C31" s="12">
        <v>-0.8</v>
      </c>
      <c r="D31" s="12">
        <v>-0.43</v>
      </c>
      <c r="E31" s="12">
        <v>-0.86</v>
      </c>
      <c r="F31" s="12">
        <v>1.44</v>
      </c>
    </row>
    <row r="32" spans="1:12" ht="19" x14ac:dyDescent="0.25">
      <c r="A32" s="5" t="s">
        <v>25</v>
      </c>
      <c r="B32" s="12">
        <v>-1.42</v>
      </c>
      <c r="C32" s="12">
        <v>-0.8</v>
      </c>
      <c r="D32" s="12">
        <v>-0.43</v>
      </c>
      <c r="E32" s="12">
        <v>-0.86</v>
      </c>
      <c r="F32" s="12">
        <v>0.95</v>
      </c>
    </row>
    <row r="33" spans="1:6" ht="19" x14ac:dyDescent="0.25">
      <c r="A33" s="5" t="s">
        <v>26</v>
      </c>
      <c r="B33" s="1">
        <v>39027135</v>
      </c>
      <c r="C33" s="1">
        <v>39027135</v>
      </c>
      <c r="D33" s="1">
        <v>45031258</v>
      </c>
      <c r="E33" s="1">
        <v>55810596</v>
      </c>
      <c r="F33" s="1">
        <v>52303968</v>
      </c>
    </row>
    <row r="34" spans="1:6" ht="19" x14ac:dyDescent="0.25">
      <c r="A34" s="5" t="s">
        <v>27</v>
      </c>
      <c r="B34" s="1">
        <v>39027135</v>
      </c>
      <c r="C34" s="1">
        <v>39027135</v>
      </c>
      <c r="D34" s="1">
        <v>45031258</v>
      </c>
      <c r="E34" s="1">
        <v>55810596</v>
      </c>
      <c r="F34" s="1">
        <v>78903737</v>
      </c>
    </row>
    <row r="35" spans="1:6" ht="20" customHeight="1" x14ac:dyDescent="0.25">
      <c r="A35" s="14" t="s">
        <v>103</v>
      </c>
      <c r="B35" s="1"/>
      <c r="C35" s="23">
        <f>(C34-B34)/B34</f>
        <v>0</v>
      </c>
      <c r="D35" s="23">
        <f t="shared" ref="D35:F35" si="4">(D34-C34)/C34</f>
        <v>0.15384483129494389</v>
      </c>
      <c r="E35" s="23">
        <f t="shared" si="4"/>
        <v>0.23937456954900083</v>
      </c>
      <c r="F35" s="23">
        <f t="shared" si="4"/>
        <v>0.41377700033878873</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4800000</v>
      </c>
      <c r="C38" s="1">
        <v>3700000</v>
      </c>
      <c r="D38" s="1">
        <v>927800000</v>
      </c>
      <c r="E38" s="1">
        <v>1231500000</v>
      </c>
      <c r="F38" s="1">
        <v>776500000</v>
      </c>
    </row>
    <row r="39" spans="1:6" ht="19" x14ac:dyDescent="0.25">
      <c r="A39" s="5" t="s">
        <v>31</v>
      </c>
      <c r="B39" s="1" t="s">
        <v>92</v>
      </c>
      <c r="C39" s="1" t="s">
        <v>92</v>
      </c>
      <c r="D39" s="1" t="s">
        <v>92</v>
      </c>
      <c r="E39" s="1" t="s">
        <v>92</v>
      </c>
      <c r="F39" s="1" t="s">
        <v>92</v>
      </c>
    </row>
    <row r="40" spans="1:6" ht="19" x14ac:dyDescent="0.25">
      <c r="A40" s="5" t="s">
        <v>32</v>
      </c>
      <c r="B40" s="1">
        <v>4800000</v>
      </c>
      <c r="C40" s="1">
        <v>3700000</v>
      </c>
      <c r="D40" s="1">
        <v>927800000</v>
      </c>
      <c r="E40" s="1">
        <v>1231500000</v>
      </c>
      <c r="F40" s="1">
        <v>776500000</v>
      </c>
    </row>
    <row r="41" spans="1:6" ht="19" x14ac:dyDescent="0.25">
      <c r="A41" s="5" t="s">
        <v>33</v>
      </c>
      <c r="B41" s="1">
        <v>56000000</v>
      </c>
      <c r="C41" s="1">
        <v>85900000</v>
      </c>
      <c r="D41" s="1">
        <v>94200000</v>
      </c>
      <c r="E41" s="1">
        <v>208200000</v>
      </c>
      <c r="F41" s="1">
        <v>195000000</v>
      </c>
    </row>
    <row r="42" spans="1:6" ht="19" x14ac:dyDescent="0.25">
      <c r="A42" s="5" t="s">
        <v>34</v>
      </c>
      <c r="B42" s="1">
        <v>5100000</v>
      </c>
      <c r="C42" s="1">
        <v>8500000</v>
      </c>
      <c r="D42" s="1">
        <v>1500000</v>
      </c>
      <c r="E42" s="1">
        <v>3500000</v>
      </c>
      <c r="F42" s="1">
        <v>4800000</v>
      </c>
    </row>
    <row r="43" spans="1:6" ht="19" x14ac:dyDescent="0.25">
      <c r="A43" s="5" t="s">
        <v>35</v>
      </c>
      <c r="B43" s="1">
        <v>4300000</v>
      </c>
      <c r="C43" s="1">
        <v>8300000</v>
      </c>
      <c r="D43" s="1">
        <v>10000000</v>
      </c>
      <c r="E43" s="1">
        <v>10400000</v>
      </c>
      <c r="F43" s="1">
        <v>15400000</v>
      </c>
    </row>
    <row r="44" spans="1:6" ht="19" x14ac:dyDescent="0.25">
      <c r="A44" s="6" t="s">
        <v>36</v>
      </c>
      <c r="B44" s="10">
        <v>70200000</v>
      </c>
      <c r="C44" s="10">
        <v>106400000</v>
      </c>
      <c r="D44" s="10">
        <v>1033500000</v>
      </c>
      <c r="E44" s="10">
        <v>1453600000</v>
      </c>
      <c r="F44" s="10">
        <v>991700000</v>
      </c>
    </row>
    <row r="45" spans="1:6" ht="19" x14ac:dyDescent="0.25">
      <c r="A45" s="5" t="s">
        <v>37</v>
      </c>
      <c r="B45" s="1">
        <v>26200000</v>
      </c>
      <c r="C45" s="1">
        <v>15400000</v>
      </c>
      <c r="D45" s="1">
        <v>51700000</v>
      </c>
      <c r="E45" s="1">
        <v>95300000</v>
      </c>
      <c r="F45" s="1">
        <v>41500000</v>
      </c>
    </row>
    <row r="46" spans="1:6" ht="19" x14ac:dyDescent="0.25">
      <c r="A46" s="5" t="s">
        <v>38</v>
      </c>
      <c r="B46" s="1">
        <v>391800000</v>
      </c>
      <c r="C46" s="1">
        <v>421300000</v>
      </c>
      <c r="D46" s="1">
        <v>477000000</v>
      </c>
      <c r="E46" s="1">
        <v>537700000</v>
      </c>
      <c r="F46" s="1">
        <v>735000000</v>
      </c>
    </row>
    <row r="47" spans="1:6" ht="19" x14ac:dyDescent="0.25">
      <c r="A47" s="5" t="s">
        <v>39</v>
      </c>
      <c r="B47" s="1">
        <v>230700000</v>
      </c>
      <c r="C47" s="1">
        <v>213200000</v>
      </c>
      <c r="D47" s="1">
        <v>186300000</v>
      </c>
      <c r="E47" s="1">
        <v>188500000</v>
      </c>
      <c r="F47" s="1">
        <v>306800000</v>
      </c>
    </row>
    <row r="48" spans="1:6" ht="19" x14ac:dyDescent="0.25">
      <c r="A48" s="5" t="s">
        <v>40</v>
      </c>
      <c r="B48" s="1">
        <v>622500000</v>
      </c>
      <c r="C48" s="1">
        <v>634500000</v>
      </c>
      <c r="D48" s="1">
        <v>663300000</v>
      </c>
      <c r="E48" s="1">
        <v>726200000</v>
      </c>
      <c r="F48" s="1">
        <v>1041800000</v>
      </c>
    </row>
    <row r="49" spans="1:6" ht="19" x14ac:dyDescent="0.25">
      <c r="A49" s="5" t="s">
        <v>41</v>
      </c>
      <c r="B49" s="1" t="s">
        <v>92</v>
      </c>
      <c r="C49" s="1" t="s">
        <v>92</v>
      </c>
      <c r="D49" s="1" t="s">
        <v>92</v>
      </c>
      <c r="E49" s="1">
        <v>30500000</v>
      </c>
      <c r="F49" s="1">
        <v>47100000</v>
      </c>
    </row>
    <row r="50" spans="1:6" ht="19" x14ac:dyDescent="0.25">
      <c r="A50" s="5" t="s">
        <v>42</v>
      </c>
      <c r="B50" s="1" t="s">
        <v>92</v>
      </c>
      <c r="C50" s="1" t="s">
        <v>92</v>
      </c>
      <c r="D50" s="1" t="s">
        <v>92</v>
      </c>
      <c r="E50" s="1" t="s">
        <v>92</v>
      </c>
      <c r="F50" s="1" t="s">
        <v>92</v>
      </c>
    </row>
    <row r="51" spans="1:6" ht="19" x14ac:dyDescent="0.25">
      <c r="A51" s="5" t="s">
        <v>43</v>
      </c>
      <c r="B51" s="1">
        <v>19800000</v>
      </c>
      <c r="C51" s="1">
        <v>31700000</v>
      </c>
      <c r="D51" s="1">
        <v>30800000</v>
      </c>
      <c r="E51" s="1">
        <v>37000000</v>
      </c>
      <c r="F51" s="1">
        <v>431900000</v>
      </c>
    </row>
    <row r="52" spans="1:6" ht="19" x14ac:dyDescent="0.25">
      <c r="A52" s="5" t="s">
        <v>44</v>
      </c>
      <c r="B52" s="1">
        <v>668500000</v>
      </c>
      <c r="C52" s="1">
        <v>681600000</v>
      </c>
      <c r="D52" s="1">
        <v>745800000</v>
      </c>
      <c r="E52" s="1">
        <v>889000000</v>
      </c>
      <c r="F52" s="1">
        <v>1562300000</v>
      </c>
    </row>
    <row r="53" spans="1:6" ht="19" x14ac:dyDescent="0.25">
      <c r="A53" s="5" t="s">
        <v>45</v>
      </c>
      <c r="B53" s="1" t="s">
        <v>92</v>
      </c>
      <c r="C53" s="1" t="s">
        <v>92</v>
      </c>
      <c r="D53" s="1" t="s">
        <v>92</v>
      </c>
      <c r="E53" s="1" t="s">
        <v>92</v>
      </c>
      <c r="F53" s="1" t="s">
        <v>92</v>
      </c>
    </row>
    <row r="54" spans="1:6" ht="20" thickBot="1" x14ac:dyDescent="0.3">
      <c r="A54" s="7" t="s">
        <v>46</v>
      </c>
      <c r="B54" s="11">
        <v>738700000</v>
      </c>
      <c r="C54" s="11">
        <v>788000000</v>
      </c>
      <c r="D54" s="11">
        <v>1779300000</v>
      </c>
      <c r="E54" s="11">
        <v>2342600000</v>
      </c>
      <c r="F54" s="11">
        <v>2554000000</v>
      </c>
    </row>
    <row r="55" spans="1:6" ht="20" thickTop="1" x14ac:dyDescent="0.25">
      <c r="A55" s="5" t="s">
        <v>47</v>
      </c>
      <c r="B55" s="1">
        <v>44200000</v>
      </c>
      <c r="C55" s="1">
        <v>58100000</v>
      </c>
      <c r="D55" s="1">
        <v>60600000</v>
      </c>
      <c r="E55" s="1">
        <v>121100000</v>
      </c>
      <c r="F55" s="1">
        <v>166700000</v>
      </c>
    </row>
    <row r="56" spans="1:6" ht="19" x14ac:dyDescent="0.25">
      <c r="A56" s="5" t="s">
        <v>48</v>
      </c>
      <c r="B56" s="1">
        <v>4800000</v>
      </c>
      <c r="C56" s="1">
        <v>5300000</v>
      </c>
      <c r="D56" s="1">
        <v>900000</v>
      </c>
      <c r="E56" s="1">
        <v>4800000</v>
      </c>
      <c r="F56" s="1">
        <v>5000000</v>
      </c>
    </row>
    <row r="57" spans="1:6" ht="19" x14ac:dyDescent="0.25">
      <c r="A57" s="5" t="s">
        <v>49</v>
      </c>
      <c r="B57" s="1" t="s">
        <v>92</v>
      </c>
      <c r="C57" s="1" t="s">
        <v>92</v>
      </c>
      <c r="D57" s="1">
        <v>1400000</v>
      </c>
      <c r="E57" s="1">
        <v>1600000</v>
      </c>
      <c r="F57" s="1" t="s">
        <v>92</v>
      </c>
    </row>
    <row r="58" spans="1:6" ht="19" x14ac:dyDescent="0.25">
      <c r="A58" s="5" t="s">
        <v>50</v>
      </c>
      <c r="B58" s="1">
        <v>4600000</v>
      </c>
      <c r="C58" s="1">
        <v>5600000</v>
      </c>
      <c r="D58" s="1">
        <v>7800000</v>
      </c>
      <c r="E58" s="1">
        <v>15000000</v>
      </c>
      <c r="F58" s="1">
        <v>16300000</v>
      </c>
    </row>
    <row r="59" spans="1:6" ht="19" x14ac:dyDescent="0.25">
      <c r="A59" s="5" t="s">
        <v>51</v>
      </c>
      <c r="B59" s="1">
        <v>44200000</v>
      </c>
      <c r="C59" s="1">
        <v>60900000</v>
      </c>
      <c r="D59" s="1">
        <v>28700000</v>
      </c>
      <c r="E59" s="1">
        <v>41300000</v>
      </c>
      <c r="F59" s="1">
        <v>80300000</v>
      </c>
    </row>
    <row r="60" spans="1:6" ht="19" x14ac:dyDescent="0.25">
      <c r="A60" s="6" t="s">
        <v>52</v>
      </c>
      <c r="B60" s="10">
        <v>97800000</v>
      </c>
      <c r="C60" s="10">
        <v>129900000</v>
      </c>
      <c r="D60" s="10">
        <v>99400000</v>
      </c>
      <c r="E60" s="10">
        <v>183800000</v>
      </c>
      <c r="F60" s="10">
        <v>268300000</v>
      </c>
    </row>
    <row r="61" spans="1:6" ht="19" x14ac:dyDescent="0.25">
      <c r="A61" s="5" t="s">
        <v>53</v>
      </c>
      <c r="B61" s="1">
        <v>548700000</v>
      </c>
      <c r="C61" s="1">
        <v>635100000</v>
      </c>
      <c r="D61" s="1">
        <v>1005400000</v>
      </c>
      <c r="E61" s="1">
        <v>1756400000</v>
      </c>
      <c r="F61" s="1">
        <v>1760000000</v>
      </c>
    </row>
    <row r="62" spans="1:6" ht="19" x14ac:dyDescent="0.25">
      <c r="A62" s="5" t="s">
        <v>50</v>
      </c>
      <c r="B62" s="1" t="s">
        <v>92</v>
      </c>
      <c r="C62" s="1" t="s">
        <v>92</v>
      </c>
      <c r="D62" s="1" t="s">
        <v>92</v>
      </c>
      <c r="E62" s="1" t="s">
        <v>92</v>
      </c>
      <c r="F62" s="1" t="s">
        <v>92</v>
      </c>
    </row>
    <row r="63" spans="1:6" ht="19" x14ac:dyDescent="0.25">
      <c r="A63" s="5" t="s">
        <v>54</v>
      </c>
      <c r="B63" s="1">
        <v>4100000</v>
      </c>
      <c r="C63" s="1">
        <v>4100000</v>
      </c>
      <c r="D63" s="1">
        <v>2800000</v>
      </c>
      <c r="E63" s="1">
        <v>300000</v>
      </c>
      <c r="F63" s="1">
        <v>18600000</v>
      </c>
    </row>
    <row r="64" spans="1:6" ht="19" x14ac:dyDescent="0.25">
      <c r="A64" s="5" t="s">
        <v>55</v>
      </c>
      <c r="B64" s="1">
        <v>46700000</v>
      </c>
      <c r="C64" s="1">
        <v>47800000</v>
      </c>
      <c r="D64" s="1">
        <v>1700000</v>
      </c>
      <c r="E64" s="1">
        <v>2400000</v>
      </c>
      <c r="F64" s="1">
        <v>26500000</v>
      </c>
    </row>
    <row r="65" spans="1:6" ht="19" x14ac:dyDescent="0.25">
      <c r="A65" s="5" t="s">
        <v>56</v>
      </c>
      <c r="B65" s="1">
        <v>599500000</v>
      </c>
      <c r="C65" s="1">
        <v>687000000</v>
      </c>
      <c r="D65" s="1">
        <v>1009900000</v>
      </c>
      <c r="E65" s="1">
        <v>1759100000</v>
      </c>
      <c r="F65" s="1">
        <v>1805100000</v>
      </c>
    </row>
    <row r="66" spans="1:6" ht="19" x14ac:dyDescent="0.25">
      <c r="A66" s="5" t="s">
        <v>57</v>
      </c>
      <c r="B66" s="1" t="s">
        <v>92</v>
      </c>
      <c r="C66" s="1" t="s">
        <v>92</v>
      </c>
      <c r="D66" s="1" t="s">
        <v>92</v>
      </c>
      <c r="E66" s="1" t="s">
        <v>92</v>
      </c>
      <c r="F66" s="1" t="s">
        <v>92</v>
      </c>
    </row>
    <row r="67" spans="1:6" ht="19" x14ac:dyDescent="0.25">
      <c r="A67" s="6" t="s">
        <v>58</v>
      </c>
      <c r="B67" s="10">
        <v>697300000</v>
      </c>
      <c r="C67" s="10">
        <v>816900000</v>
      </c>
      <c r="D67" s="10">
        <v>1109300000</v>
      </c>
      <c r="E67" s="10">
        <v>1942900000</v>
      </c>
      <c r="F67" s="10">
        <v>2073400000</v>
      </c>
    </row>
    <row r="68" spans="1:6" ht="19" x14ac:dyDescent="0.25">
      <c r="A68" s="5" t="s">
        <v>59</v>
      </c>
      <c r="B68" s="1">
        <v>300000</v>
      </c>
      <c r="C68" s="1">
        <v>300000</v>
      </c>
      <c r="D68" s="1" t="s">
        <v>92</v>
      </c>
      <c r="E68" s="1" t="s">
        <v>92</v>
      </c>
      <c r="F68" s="1">
        <v>-185900000</v>
      </c>
    </row>
    <row r="69" spans="1:6" ht="19" x14ac:dyDescent="0.25">
      <c r="A69" s="5" t="s">
        <v>60</v>
      </c>
      <c r="B69" s="1">
        <v>-113300000</v>
      </c>
      <c r="C69" s="1">
        <v>-178400000</v>
      </c>
      <c r="D69" s="1">
        <v>-278700000</v>
      </c>
      <c r="E69" s="1">
        <v>-325300000</v>
      </c>
      <c r="F69" s="1">
        <v>-363600000</v>
      </c>
    </row>
    <row r="70" spans="1:6" ht="19" x14ac:dyDescent="0.25">
      <c r="A70" s="5" t="s">
        <v>61</v>
      </c>
      <c r="B70" s="1">
        <v>-28100000</v>
      </c>
      <c r="C70" s="1">
        <v>-19400000</v>
      </c>
      <c r="D70" s="1" t="s">
        <v>92</v>
      </c>
      <c r="E70" s="1" t="s">
        <v>92</v>
      </c>
      <c r="F70" s="1">
        <v>8300000</v>
      </c>
    </row>
    <row r="71" spans="1:6" ht="19" x14ac:dyDescent="0.25">
      <c r="A71" s="5" t="s">
        <v>62</v>
      </c>
      <c r="B71" s="1">
        <v>182500000</v>
      </c>
      <c r="C71" s="1">
        <v>168600000</v>
      </c>
      <c r="D71" s="1">
        <v>738300000</v>
      </c>
      <c r="E71" s="1">
        <v>598100000</v>
      </c>
      <c r="F71" s="1">
        <v>888500000</v>
      </c>
    </row>
    <row r="72" spans="1:6" ht="19" x14ac:dyDescent="0.25">
      <c r="A72" s="6" t="s">
        <v>63</v>
      </c>
      <c r="B72" s="10">
        <v>41400000</v>
      </c>
      <c r="C72" s="10">
        <v>-28900000</v>
      </c>
      <c r="D72" s="10">
        <v>459600000</v>
      </c>
      <c r="E72" s="10">
        <v>272800000</v>
      </c>
      <c r="F72" s="10">
        <v>347300000</v>
      </c>
    </row>
    <row r="73" spans="1:6" ht="20" thickBot="1" x14ac:dyDescent="0.3">
      <c r="A73" s="7" t="s">
        <v>64</v>
      </c>
      <c r="B73" s="11">
        <v>738700000</v>
      </c>
      <c r="C73" s="11">
        <v>788000000</v>
      </c>
      <c r="D73" s="11">
        <v>1568900000</v>
      </c>
      <c r="E73" s="11">
        <v>2215700000</v>
      </c>
      <c r="F73" s="11">
        <v>2420700000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-49900000</v>
      </c>
      <c r="C76" s="1">
        <v>-58100000</v>
      </c>
      <c r="D76" s="1">
        <v>-18400000</v>
      </c>
      <c r="E76" s="1">
        <v>-48200000</v>
      </c>
      <c r="F76" s="1">
        <v>86700000</v>
      </c>
    </row>
    <row r="77" spans="1:6" ht="19" x14ac:dyDescent="0.25">
      <c r="A77" s="5" t="s">
        <v>13</v>
      </c>
      <c r="B77" s="1">
        <v>66200000</v>
      </c>
      <c r="C77" s="1">
        <v>63200000</v>
      </c>
      <c r="D77" s="1">
        <v>84200000</v>
      </c>
      <c r="E77" s="1">
        <v>104400000</v>
      </c>
      <c r="F77" s="1">
        <v>149100000</v>
      </c>
    </row>
    <row r="78" spans="1:6" ht="19" x14ac:dyDescent="0.25">
      <c r="A78" s="5" t="s">
        <v>67</v>
      </c>
      <c r="B78" s="1">
        <v>-3800000</v>
      </c>
      <c r="C78" s="1" t="s">
        <v>92</v>
      </c>
      <c r="D78" s="1">
        <v>-1300000</v>
      </c>
      <c r="E78" s="1">
        <v>-2500000</v>
      </c>
      <c r="F78" s="1">
        <v>-2100000</v>
      </c>
    </row>
    <row r="79" spans="1:6" ht="19" x14ac:dyDescent="0.25">
      <c r="A79" s="5" t="s">
        <v>68</v>
      </c>
      <c r="B79" s="1" t="s">
        <v>92</v>
      </c>
      <c r="C79" s="1" t="s">
        <v>92</v>
      </c>
      <c r="D79" s="1">
        <v>66200000</v>
      </c>
      <c r="E79" s="1">
        <v>40800000</v>
      </c>
      <c r="F79" s="1">
        <v>49600000</v>
      </c>
    </row>
    <row r="80" spans="1:6" ht="19" x14ac:dyDescent="0.25">
      <c r="A80" s="14" t="s">
        <v>104</v>
      </c>
      <c r="B80" s="15" t="e">
        <f>B79/B3</f>
        <v>#VALUE!</v>
      </c>
      <c r="C80" s="15" t="e">
        <f>C79/C3</f>
        <v>#VALUE!</v>
      </c>
      <c r="D80" s="15">
        <f>D79/D3</f>
        <v>8.6321554309557957E-2</v>
      </c>
      <c r="E80" s="15">
        <f>E79/E3</f>
        <v>2.983546617915905E-2</v>
      </c>
      <c r="F80" s="15">
        <f>F79/F3</f>
        <v>2.4879614767255216E-2</v>
      </c>
    </row>
    <row r="81" spans="1:14" ht="19" x14ac:dyDescent="0.25">
      <c r="A81" s="5" t="s">
        <v>69</v>
      </c>
      <c r="B81" s="1">
        <v>8900000</v>
      </c>
      <c r="C81" s="1">
        <v>-4900000</v>
      </c>
      <c r="D81" s="1">
        <v>-26000000</v>
      </c>
      <c r="E81" s="1">
        <v>-57800000</v>
      </c>
      <c r="F81" s="1">
        <v>-7900000</v>
      </c>
    </row>
    <row r="82" spans="1:14" ht="19" x14ac:dyDescent="0.25">
      <c r="A82" s="5" t="s">
        <v>70</v>
      </c>
      <c r="B82" s="1">
        <v>-16600000</v>
      </c>
      <c r="C82" s="1">
        <v>-18600000</v>
      </c>
      <c r="D82" s="1">
        <v>-19300000</v>
      </c>
      <c r="E82" s="1">
        <v>-120700000</v>
      </c>
      <c r="F82" s="1">
        <v>4100000</v>
      </c>
    </row>
    <row r="83" spans="1:14" ht="21" x14ac:dyDescent="0.25">
      <c r="A83" s="5" t="s">
        <v>34</v>
      </c>
      <c r="B83" s="1">
        <v>-1800000</v>
      </c>
      <c r="C83" s="1">
        <v>-1700000</v>
      </c>
      <c r="D83" s="1">
        <v>1200000</v>
      </c>
      <c r="E83" s="1">
        <v>1800000</v>
      </c>
      <c r="F83" s="1">
        <v>2800000</v>
      </c>
      <c r="M83" s="60" t="s">
        <v>126</v>
      </c>
      <c r="N83" s="61"/>
    </row>
    <row r="84" spans="1:14" ht="19" x14ac:dyDescent="0.25">
      <c r="A84" s="5" t="s">
        <v>47</v>
      </c>
      <c r="B84" s="1">
        <v>11100000</v>
      </c>
      <c r="C84" s="1">
        <v>12300000</v>
      </c>
      <c r="D84" s="1">
        <v>-2000000</v>
      </c>
      <c r="E84" s="1">
        <v>56500000</v>
      </c>
      <c r="F84" s="1">
        <v>37300000</v>
      </c>
      <c r="M84" s="62" t="s">
        <v>127</v>
      </c>
      <c r="N84" s="63"/>
    </row>
    <row r="85" spans="1:14" ht="20" x14ac:dyDescent="0.25">
      <c r="A85" s="5" t="s">
        <v>71</v>
      </c>
      <c r="B85" s="1">
        <v>800000</v>
      </c>
      <c r="C85" s="1">
        <v>1100000</v>
      </c>
      <c r="D85" s="1">
        <v>1200000</v>
      </c>
      <c r="E85" s="1">
        <v>200000</v>
      </c>
      <c r="F85" s="1" t="s">
        <v>92</v>
      </c>
      <c r="M85" s="24" t="s">
        <v>128</v>
      </c>
      <c r="N85" s="25">
        <f>F17</f>
        <v>32500000</v>
      </c>
    </row>
    <row r="86" spans="1:14" ht="20" x14ac:dyDescent="0.25">
      <c r="A86" s="5" t="s">
        <v>72</v>
      </c>
      <c r="B86" s="1">
        <v>4100000</v>
      </c>
      <c r="C86" s="1">
        <v>26500000</v>
      </c>
      <c r="D86" s="1">
        <v>-81300000</v>
      </c>
      <c r="E86" s="1">
        <v>-7500000</v>
      </c>
      <c r="F86" s="1" t="s">
        <v>92</v>
      </c>
      <c r="M86" s="24" t="s">
        <v>129</v>
      </c>
      <c r="N86" s="25">
        <f>F56</f>
        <v>5000000</v>
      </c>
    </row>
    <row r="87" spans="1:14" ht="20" x14ac:dyDescent="0.25">
      <c r="A87" s="6" t="s">
        <v>73</v>
      </c>
      <c r="B87" s="10">
        <v>25500000</v>
      </c>
      <c r="C87" s="10">
        <v>26700000</v>
      </c>
      <c r="D87" s="10">
        <v>23400000</v>
      </c>
      <c r="E87" s="10">
        <v>29200000</v>
      </c>
      <c r="F87" s="10">
        <v>275400000</v>
      </c>
      <c r="M87" s="24" t="s">
        <v>130</v>
      </c>
      <c r="N87" s="25">
        <f>F61</f>
        <v>1760000000</v>
      </c>
    </row>
    <row r="88" spans="1:14" ht="20" x14ac:dyDescent="0.25">
      <c r="A88" s="5" t="s">
        <v>74</v>
      </c>
      <c r="B88" s="1">
        <v>-1600000</v>
      </c>
      <c r="C88" s="1">
        <v>-8200000</v>
      </c>
      <c r="D88" s="1">
        <v>-19300000</v>
      </c>
      <c r="E88" s="1">
        <v>-54100000</v>
      </c>
      <c r="F88" s="1">
        <v>-8000000</v>
      </c>
      <c r="M88" s="34" t="s">
        <v>131</v>
      </c>
      <c r="N88" s="35">
        <f>N85/(N86+N87)</f>
        <v>1.8413597733711047E-2</v>
      </c>
    </row>
    <row r="89" spans="1:14" ht="20" customHeight="1" x14ac:dyDescent="0.25">
      <c r="A89" s="14" t="s">
        <v>105</v>
      </c>
      <c r="B89" s="15">
        <f>(-1*B88)/B3</f>
        <v>2.8540849090260435E-3</v>
      </c>
      <c r="C89" s="15">
        <f>(-1*C88)/C3</f>
        <v>1.1211375444353295E-2</v>
      </c>
      <c r="D89" s="15">
        <f>(-1*D88)/D3</f>
        <v>2.5166253748859044E-2</v>
      </c>
      <c r="E89" s="15">
        <f>(-1*E88)/E3</f>
        <v>3.9561243144424128E-2</v>
      </c>
      <c r="F89" s="15">
        <f>(-1*F88)/F3</f>
        <v>4.0128410914927765E-3</v>
      </c>
      <c r="M89" s="24" t="s">
        <v>106</v>
      </c>
      <c r="N89" s="25">
        <f>F27</f>
        <v>-200000</v>
      </c>
    </row>
    <row r="90" spans="1:14" ht="20" x14ac:dyDescent="0.25">
      <c r="A90" s="5" t="s">
        <v>75</v>
      </c>
      <c r="B90" s="1">
        <v>-1500000</v>
      </c>
      <c r="C90" s="1">
        <v>-60200000</v>
      </c>
      <c r="D90" s="1">
        <v>-49800000</v>
      </c>
      <c r="E90" s="1">
        <v>-54500000</v>
      </c>
      <c r="F90" s="1">
        <v>-135300000</v>
      </c>
      <c r="M90" s="24" t="s">
        <v>19</v>
      </c>
      <c r="N90" s="25">
        <f>F25</f>
        <v>86900000</v>
      </c>
    </row>
    <row r="91" spans="1:14" ht="20" x14ac:dyDescent="0.25">
      <c r="A91" s="5" t="s">
        <v>76</v>
      </c>
      <c r="B91" s="1" t="s">
        <v>92</v>
      </c>
      <c r="C91" s="1" t="s">
        <v>92</v>
      </c>
      <c r="D91" s="1" t="s">
        <v>92</v>
      </c>
      <c r="E91" s="1">
        <v>-30500000</v>
      </c>
      <c r="F91" s="1">
        <v>-16600000</v>
      </c>
      <c r="M91" s="34" t="s">
        <v>132</v>
      </c>
      <c r="N91" s="35">
        <f>N89/N90</f>
        <v>-2.3014959723820483E-3</v>
      </c>
    </row>
    <row r="92" spans="1:14" ht="20" x14ac:dyDescent="0.25">
      <c r="A92" s="5" t="s">
        <v>77</v>
      </c>
      <c r="B92" s="1" t="s">
        <v>92</v>
      </c>
      <c r="C92" s="1" t="s">
        <v>92</v>
      </c>
      <c r="D92" s="1" t="s">
        <v>92</v>
      </c>
      <c r="E92" s="1" t="s">
        <v>92</v>
      </c>
      <c r="F92" s="1" t="s">
        <v>92</v>
      </c>
      <c r="M92" s="36" t="s">
        <v>133</v>
      </c>
      <c r="N92" s="37">
        <f>N88*(1-N91)</f>
        <v>1.8455976554732245E-2</v>
      </c>
    </row>
    <row r="93" spans="1:14" ht="19" x14ac:dyDescent="0.25">
      <c r="A93" s="5" t="s">
        <v>78</v>
      </c>
      <c r="B93" s="1">
        <v>-38300000</v>
      </c>
      <c r="C93" s="1">
        <v>-30400000</v>
      </c>
      <c r="D93" s="1">
        <v>-33000000</v>
      </c>
      <c r="E93" s="1">
        <v>-57600000</v>
      </c>
      <c r="F93" s="1">
        <v>-356900000</v>
      </c>
      <c r="M93" s="62" t="s">
        <v>134</v>
      </c>
      <c r="N93" s="63"/>
    </row>
    <row r="94" spans="1:14" ht="20" x14ac:dyDescent="0.25">
      <c r="A94" s="6" t="s">
        <v>79</v>
      </c>
      <c r="B94" s="10">
        <v>-41400000</v>
      </c>
      <c r="C94" s="10">
        <v>-98800000</v>
      </c>
      <c r="D94" s="10">
        <v>-102100000</v>
      </c>
      <c r="E94" s="10">
        <v>-196700000</v>
      </c>
      <c r="F94" s="10">
        <v>-516800000</v>
      </c>
      <c r="M94" s="24" t="s">
        <v>135</v>
      </c>
      <c r="N94" s="38">
        <v>4.095E-2</v>
      </c>
    </row>
    <row r="95" spans="1:14" ht="20" x14ac:dyDescent="0.25">
      <c r="A95" s="5" t="s">
        <v>80</v>
      </c>
      <c r="B95" s="1">
        <v>-5300000</v>
      </c>
      <c r="C95" s="1">
        <v>-95200000</v>
      </c>
      <c r="D95" s="1">
        <v>-733100000</v>
      </c>
      <c r="E95" s="1">
        <v>-900000</v>
      </c>
      <c r="F95" s="1" t="s">
        <v>92</v>
      </c>
      <c r="M95" s="24" t="s">
        <v>136</v>
      </c>
      <c r="N95" s="39" cm="1">
        <f t="array" ref="N95">_FV(A1,"Beta")</f>
        <v>1.8180000000000001</v>
      </c>
    </row>
    <row r="96" spans="1:14" ht="20" x14ac:dyDescent="0.25">
      <c r="A96" s="5" t="s">
        <v>81</v>
      </c>
      <c r="B96" s="1" t="s">
        <v>92</v>
      </c>
      <c r="C96" s="1" t="s">
        <v>92</v>
      </c>
      <c r="D96" s="1">
        <v>566300000</v>
      </c>
      <c r="E96" s="1" t="s">
        <v>92</v>
      </c>
      <c r="F96" s="1" t="s">
        <v>92</v>
      </c>
      <c r="M96" s="24" t="s">
        <v>137</v>
      </c>
      <c r="N96" s="38">
        <v>8.4000000000000005E-2</v>
      </c>
    </row>
    <row r="97" spans="1:14" ht="20" x14ac:dyDescent="0.25">
      <c r="A97" s="5" t="s">
        <v>82</v>
      </c>
      <c r="B97" s="1" t="s">
        <v>92</v>
      </c>
      <c r="C97" s="1">
        <v>-8500000</v>
      </c>
      <c r="D97" s="1">
        <v>-900000</v>
      </c>
      <c r="E97" s="1">
        <v>-19500000</v>
      </c>
      <c r="F97" s="1">
        <v>-185900000</v>
      </c>
      <c r="M97" s="36" t="s">
        <v>138</v>
      </c>
      <c r="N97" s="37">
        <f>(N94)+((N95)*(N96-N94))</f>
        <v>0.11921490000000001</v>
      </c>
    </row>
    <row r="98" spans="1:14" ht="19" x14ac:dyDescent="0.25">
      <c r="A98" s="5" t="s">
        <v>83</v>
      </c>
      <c r="B98" s="1">
        <v>-200000</v>
      </c>
      <c r="C98" s="1">
        <v>-200000</v>
      </c>
      <c r="D98" s="1">
        <v>-500000</v>
      </c>
      <c r="E98" s="1" t="s">
        <v>92</v>
      </c>
      <c r="F98" s="1" t="s">
        <v>92</v>
      </c>
      <c r="M98" s="62" t="s">
        <v>139</v>
      </c>
      <c r="N98" s="63"/>
    </row>
    <row r="99" spans="1:14" ht="20" x14ac:dyDescent="0.25">
      <c r="A99" s="5" t="s">
        <v>84</v>
      </c>
      <c r="B99" s="1">
        <v>16800000</v>
      </c>
      <c r="C99" s="1">
        <v>174900000</v>
      </c>
      <c r="D99" s="1">
        <v>1171000000</v>
      </c>
      <c r="E99" s="1">
        <v>491600000</v>
      </c>
      <c r="F99" s="1">
        <v>-28700000</v>
      </c>
      <c r="M99" s="24" t="s">
        <v>140</v>
      </c>
      <c r="N99" s="25">
        <f>N86+N87</f>
        <v>1765000000</v>
      </c>
    </row>
    <row r="100" spans="1:14" ht="20" x14ac:dyDescent="0.25">
      <c r="A100" s="6" t="s">
        <v>85</v>
      </c>
      <c r="B100" s="10">
        <v>11300000</v>
      </c>
      <c r="C100" s="10">
        <v>71000000</v>
      </c>
      <c r="D100" s="10">
        <v>1002800000</v>
      </c>
      <c r="E100" s="10">
        <v>471200000</v>
      </c>
      <c r="F100" s="10">
        <v>-214600000</v>
      </c>
      <c r="M100" s="34" t="s">
        <v>141</v>
      </c>
      <c r="N100" s="35">
        <f>N99/N103</f>
        <v>0.23954449612724693</v>
      </c>
    </row>
    <row r="101" spans="1:14" ht="20" x14ac:dyDescent="0.25">
      <c r="A101" s="5" t="s">
        <v>86</v>
      </c>
      <c r="B101" s="1" t="s">
        <v>92</v>
      </c>
      <c r="C101" s="1" t="s">
        <v>92</v>
      </c>
      <c r="D101" s="1" t="s">
        <v>92</v>
      </c>
      <c r="E101" s="1" t="s">
        <v>92</v>
      </c>
      <c r="F101" s="1">
        <v>1000000</v>
      </c>
      <c r="M101" s="24" t="s">
        <v>142</v>
      </c>
      <c r="N101" s="40" cm="1">
        <f t="array" ref="N101">_FV(A1,"Market cap",TRUE)</f>
        <v>5603150922</v>
      </c>
    </row>
    <row r="102" spans="1:14" ht="20" x14ac:dyDescent="0.25">
      <c r="A102" s="6" t="s">
        <v>87</v>
      </c>
      <c r="B102" s="10">
        <v>-4600000</v>
      </c>
      <c r="C102" s="10">
        <v>-1100000</v>
      </c>
      <c r="D102" s="10">
        <v>924100000</v>
      </c>
      <c r="E102" s="10">
        <v>303700000</v>
      </c>
      <c r="F102" s="10">
        <v>-455000000</v>
      </c>
      <c r="M102" s="34" t="s">
        <v>143</v>
      </c>
      <c r="N102" s="35">
        <f>N101/N103</f>
        <v>0.76045550387275307</v>
      </c>
    </row>
    <row r="103" spans="1:14" ht="20" x14ac:dyDescent="0.25">
      <c r="A103" s="5" t="s">
        <v>88</v>
      </c>
      <c r="B103" s="1">
        <v>9400000</v>
      </c>
      <c r="C103" s="1">
        <v>4800000</v>
      </c>
      <c r="D103" s="1">
        <v>3700000</v>
      </c>
      <c r="E103" s="1">
        <v>927800000</v>
      </c>
      <c r="F103" s="1">
        <v>1231500000</v>
      </c>
      <c r="M103" s="36" t="s">
        <v>144</v>
      </c>
      <c r="N103" s="41">
        <f>N99+N101</f>
        <v>7368150922</v>
      </c>
    </row>
    <row r="104" spans="1:14" ht="20" thickBot="1" x14ac:dyDescent="0.3">
      <c r="A104" s="7" t="s">
        <v>89</v>
      </c>
      <c r="B104" s="11">
        <v>4800000</v>
      </c>
      <c r="C104" s="11">
        <v>3700000</v>
      </c>
      <c r="D104" s="11">
        <v>927800000</v>
      </c>
      <c r="E104" s="11">
        <v>1231500000</v>
      </c>
      <c r="F104" s="11">
        <v>776500000</v>
      </c>
      <c r="M104" s="62" t="s">
        <v>145</v>
      </c>
      <c r="N104" s="63"/>
    </row>
    <row r="105" spans="1:14" ht="21" thickTop="1" x14ac:dyDescent="0.25">
      <c r="A105" s="14" t="s">
        <v>107</v>
      </c>
      <c r="B105" s="1"/>
      <c r="C105" s="15">
        <f>(C106/B106)-1</f>
        <v>-0.49246231155778897</v>
      </c>
      <c r="D105" s="15">
        <f>(D106/C106)-1</f>
        <v>-1.5544554455445545</v>
      </c>
      <c r="E105" s="15">
        <f>(E106/D106)-1</f>
        <v>13.732142857142858</v>
      </c>
      <c r="F105" s="15">
        <f>(F106/E106)-1</f>
        <v>-3.7236363636363636</v>
      </c>
      <c r="G105" s="15"/>
      <c r="H105" s="15"/>
      <c r="I105" s="15"/>
      <c r="J105" s="15"/>
      <c r="K105" s="15"/>
      <c r="L105" s="15"/>
      <c r="M105" s="26" t="s">
        <v>108</v>
      </c>
      <c r="N105" s="27">
        <f>(N100*N92)+(N102*N97)</f>
        <v>9.50786544529795E-2</v>
      </c>
    </row>
    <row r="106" spans="1:14" ht="19" x14ac:dyDescent="0.25">
      <c r="A106" s="5" t="s">
        <v>90</v>
      </c>
      <c r="B106" s="1">
        <v>19900000</v>
      </c>
      <c r="C106" s="1">
        <v>10100000</v>
      </c>
      <c r="D106" s="1">
        <v>-5600000</v>
      </c>
      <c r="E106" s="1">
        <v>-82500000</v>
      </c>
      <c r="F106" s="1">
        <v>224700000</v>
      </c>
      <c r="G106" s="42">
        <f>F106*(1+$N$106)</f>
        <v>282139577.6258319</v>
      </c>
      <c r="H106" s="42">
        <f t="shared" ref="H106:K106" si="5">G106*(1+$N$106)</f>
        <v>354262310.91625649</v>
      </c>
      <c r="I106" s="42">
        <f t="shared" si="5"/>
        <v>444821623.36743993</v>
      </c>
      <c r="J106" s="42">
        <f t="shared" si="5"/>
        <v>558530418.04951668</v>
      </c>
      <c r="K106" s="42">
        <f t="shared" si="5"/>
        <v>701306347.30605233</v>
      </c>
      <c r="L106" s="43" t="s">
        <v>146</v>
      </c>
      <c r="M106" s="44" t="s">
        <v>147</v>
      </c>
      <c r="N106" s="45">
        <f>(SUM(G4:K4)/5)</f>
        <v>0.25562784880210027</v>
      </c>
    </row>
    <row r="107" spans="1:14" ht="19" x14ac:dyDescent="0.25">
      <c r="A107" s="5"/>
      <c r="B107" s="13"/>
      <c r="C107" s="13"/>
      <c r="D107" s="13"/>
      <c r="E107" s="13"/>
      <c r="F107" s="13"/>
      <c r="G107" s="43"/>
      <c r="H107" s="43"/>
      <c r="I107" s="43"/>
      <c r="J107" s="43"/>
      <c r="K107" s="46">
        <f>K106*(1+N107)/(N108-N107)</f>
        <v>10257602854.960938</v>
      </c>
      <c r="L107" s="47" t="s">
        <v>148</v>
      </c>
      <c r="M107" s="48" t="s">
        <v>149</v>
      </c>
      <c r="N107" s="49">
        <v>2.5000000000000001E-2</v>
      </c>
    </row>
    <row r="108" spans="1:14" ht="19" x14ac:dyDescent="0.25">
      <c r="G108" s="46">
        <f t="shared" ref="G108:I108" si="6">G107+G106</f>
        <v>282139577.6258319</v>
      </c>
      <c r="H108" s="46">
        <f t="shared" si="6"/>
        <v>354262310.91625649</v>
      </c>
      <c r="I108" s="46">
        <f t="shared" si="6"/>
        <v>444821623.36743993</v>
      </c>
      <c r="J108" s="46">
        <f>J107+J106</f>
        <v>558530418.04951668</v>
      </c>
      <c r="K108" s="46">
        <f>K107+K106</f>
        <v>10958909202.266991</v>
      </c>
      <c r="L108" s="47" t="s">
        <v>144</v>
      </c>
      <c r="M108" s="50" t="s">
        <v>150</v>
      </c>
      <c r="N108" s="51">
        <f>N105</f>
        <v>9.50786544529795E-2</v>
      </c>
    </row>
    <row r="109" spans="1:14" ht="19" x14ac:dyDescent="0.25">
      <c r="G109" s="64" t="s">
        <v>151</v>
      </c>
      <c r="H109" s="65"/>
    </row>
    <row r="110" spans="1:14" ht="20" x14ac:dyDescent="0.25">
      <c r="G110" s="52" t="s">
        <v>152</v>
      </c>
      <c r="H110" s="40">
        <f>NPV(N108,G108,H108,I108,J108,K108)</f>
        <v>8239076958.7501707</v>
      </c>
    </row>
    <row r="111" spans="1:14" ht="20" x14ac:dyDescent="0.25">
      <c r="G111" s="52" t="s">
        <v>153</v>
      </c>
      <c r="H111" s="40">
        <f>F40</f>
        <v>776500000</v>
      </c>
    </row>
    <row r="112" spans="1:14" ht="20" x14ac:dyDescent="0.25">
      <c r="G112" s="52" t="s">
        <v>140</v>
      </c>
      <c r="H112" s="40">
        <f>N99</f>
        <v>1765000000</v>
      </c>
    </row>
    <row r="113" spans="7:8" ht="20" x14ac:dyDescent="0.25">
      <c r="G113" s="52" t="s">
        <v>154</v>
      </c>
      <c r="H113" s="40">
        <f>H110+H111-H112</f>
        <v>7250576958.7501717</v>
      </c>
    </row>
    <row r="114" spans="7:8" ht="20" x14ac:dyDescent="0.25">
      <c r="G114" s="52" t="s">
        <v>155</v>
      </c>
      <c r="H114" s="53">
        <f>F34*(1+(5*L16))</f>
        <v>142578768.79886889</v>
      </c>
    </row>
    <row r="115" spans="7:8" ht="20" x14ac:dyDescent="0.25">
      <c r="G115" s="54" t="s">
        <v>156</v>
      </c>
      <c r="H115" s="55">
        <f>H113/H114</f>
        <v>50.853132060484533</v>
      </c>
    </row>
    <row r="116" spans="7:8" ht="20" x14ac:dyDescent="0.25">
      <c r="G116" s="52" t="s">
        <v>157</v>
      </c>
      <c r="H116" s="56" cm="1">
        <f t="array" ref="H116">_FV(A1,"Price")</f>
        <v>67.349999999999994</v>
      </c>
    </row>
    <row r="117" spans="7:8" ht="20" x14ac:dyDescent="0.25">
      <c r="G117" s="57" t="s">
        <v>158</v>
      </c>
      <c r="H117" s="58">
        <f>H115/H116-1</f>
        <v>-0.24494235990371882</v>
      </c>
    </row>
    <row r="118" spans="7:8" ht="20" x14ac:dyDescent="0.25">
      <c r="G118" s="57" t="s">
        <v>159</v>
      </c>
      <c r="H118" s="59" t="str">
        <f>IF(H115&gt;H116,"BUY","SELL")</f>
        <v>SELL</v>
      </c>
    </row>
  </sheetData>
  <mergeCells count="6">
    <mergeCell ref="G109:H109"/>
    <mergeCell ref="M83:N83"/>
    <mergeCell ref="M84:N84"/>
    <mergeCell ref="M93:N93"/>
    <mergeCell ref="M98:N98"/>
    <mergeCell ref="M104:N104"/>
  </mergeCells>
  <hyperlinks>
    <hyperlink ref="A1" r:id="rId1" tooltip="https://roic.ai/company/FOUR" display="ROIC.AI | FOU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94669/000156459021011368/0001564590-21-011368-index.htm" xr:uid="{00000000-0004-0000-0000-000007000000}"/>
    <hyperlink ref="D74" r:id="rId7" tooltip="https://www.sec.gov/Archives/edgar/data/1794669/000156459021011368/0001564590-21-011368-index.htm" xr:uid="{00000000-0004-0000-0000-000008000000}"/>
    <hyperlink ref="E36" r:id="rId8" tooltip="https://www.sec.gov/Archives/edgar/data/1794669/000179466922000012/0001794669-22-000012-index.htm" xr:uid="{00000000-0004-0000-0000-00000A000000}"/>
    <hyperlink ref="E74" r:id="rId9" tooltip="https://www.sec.gov/Archives/edgar/data/1794669/000179466922000012/0001794669-22-000012-index.htm" xr:uid="{00000000-0004-0000-0000-00000B000000}"/>
    <hyperlink ref="F36" r:id="rId10" tooltip="https://www.sec.gov/Archives/edgar/data/1794669/000179466923000006/0001794669-23-000006-index.htm" xr:uid="{00000000-0004-0000-0000-00000D000000}"/>
    <hyperlink ref="F74" r:id="rId11" tooltip="https://www.sec.gov/Archives/edgar/data/1794669/000179466923000006/0001794669-23-000006-index.htm" xr:uid="{00000000-0004-0000-0000-00000E000000}"/>
    <hyperlink ref="G1" r:id="rId12" display="https://finbox.com/NYSE:FOUR/explorer/revenue_proj" xr:uid="{0BEB7677-E097-854F-BCCC-3E3C395ECF77}"/>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2023-03-14T01:53:33Z</dcterms:created>
  <dcterms:modified xsi:type="dcterms:W3CDTF">2023-05-22T21:15:28Z</dcterms:modified>
</cp:coreProperties>
</file>