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5DEAA5B0-CF37-3D43-A39B-4093A0BAD57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4" i="1" l="1" a="1"/>
  <c r="I114" i="1" s="1"/>
  <c r="I116" i="1" a="1"/>
  <c r="I116" i="1" s="1"/>
  <c r="I106" i="1"/>
  <c r="J106" i="1" s="1"/>
  <c r="K106" i="1" s="1"/>
  <c r="L106" i="1" s="1"/>
  <c r="H106" i="1"/>
  <c r="O101" i="1" a="1"/>
  <c r="O101" i="1" s="1"/>
  <c r="N16" i="1" s="1"/>
  <c r="O95" i="1" a="1"/>
  <c r="O95" i="1" s="1"/>
  <c r="O97" i="1" s="1"/>
  <c r="O85" i="1"/>
  <c r="O88" i="1"/>
  <c r="I111" i="1"/>
  <c r="O90" i="1"/>
  <c r="O89" i="1"/>
  <c r="O91" i="1" s="1"/>
  <c r="O87" i="1"/>
  <c r="O86" i="1"/>
  <c r="O99" i="1" s="1"/>
  <c r="M19" i="1"/>
  <c r="M16" i="1"/>
  <c r="P13" i="1"/>
  <c r="O13" i="1"/>
  <c r="N13" i="1"/>
  <c r="M13" i="1"/>
  <c r="P10" i="1"/>
  <c r="O10" i="1"/>
  <c r="N10" i="1"/>
  <c r="P7" i="1"/>
  <c r="O7" i="1"/>
  <c r="N7" i="1"/>
  <c r="M7" i="1"/>
  <c r="P4" i="1"/>
  <c r="O4" i="1"/>
  <c r="N4" i="1"/>
  <c r="M4" i="1"/>
  <c r="L4" i="1"/>
  <c r="K4" i="1"/>
  <c r="J4" i="1"/>
  <c r="I4" i="1"/>
  <c r="H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M10" i="1" s="1"/>
  <c r="F9" i="1"/>
  <c r="E9" i="1"/>
  <c r="D9" i="1"/>
  <c r="C9" i="1"/>
  <c r="B9" i="1"/>
  <c r="G4" i="1"/>
  <c r="F4" i="1"/>
  <c r="E4" i="1"/>
  <c r="D4" i="1"/>
  <c r="C4" i="1"/>
  <c r="O92" i="1" l="1"/>
  <c r="O106" i="1"/>
  <c r="O16" i="1"/>
  <c r="P16" i="1"/>
  <c r="I108" i="1"/>
  <c r="O103" i="1"/>
  <c r="O102" i="1" s="1"/>
  <c r="I112" i="1"/>
  <c r="H108" i="1"/>
  <c r="J108" i="1" l="1"/>
  <c r="O100" i="1"/>
  <c r="O105" i="1" s="1"/>
  <c r="O108" i="1" s="1"/>
  <c r="L107" i="1" l="1"/>
  <c r="L108" i="1" s="1"/>
  <c r="I110" i="1" s="1"/>
  <c r="I113" i="1" s="1"/>
  <c r="I115" i="1" s="1"/>
  <c r="K108" i="1"/>
  <c r="I117"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<sst xmlns="http://schemas.openxmlformats.org/spreadsheetml/2006/main" count="321" uniqueCount="160">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</sst>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PGNY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774782291286443E-2"/>
          <c:y val="0.10173272261322831"/>
          <c:w val="0.86756958856964073"/>
          <c:h val="0.7914178859090096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48584000</c:v>
                </c:pt>
                <c:pt idx="1">
                  <c:v>105400000</c:v>
                </c:pt>
                <c:pt idx="2">
                  <c:v>229683000</c:v>
                </c:pt>
                <c:pt idx="3">
                  <c:v>344858000</c:v>
                </c:pt>
                <c:pt idx="4">
                  <c:v>500621000</c:v>
                </c:pt>
                <c:pt idx="5">
                  <c:v>786913000</c:v>
                </c:pt>
              </c:numCache>
            </c:numRef>
          </c:val>
          <c:extLst>
            <c:ext xmlns:c16="http://schemas.microsoft.com/office/drawing/2014/chart" uri="{C3380CC4-5D6E-409C-BE32-E72D297353CC}">
              <c16:uniqueId val="{00000000-3DC0-1D46-B58F-0F8EDBFF1B4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-10896000</c:v>
                </c:pt>
                <c:pt idx="1">
                  <c:v>767000</c:v>
                </c:pt>
                <c:pt idx="2">
                  <c:v>-6482000</c:v>
                </c:pt>
                <c:pt idx="3">
                  <c:v>10706000</c:v>
                </c:pt>
                <c:pt idx="4">
                  <c:v>34197000</c:v>
                </c:pt>
                <c:pt idx="5">
                  <c:v>37876000</c:v>
                </c:pt>
              </c:numCache>
            </c:numRef>
          </c:val>
          <c:extLst>
            <c:ext xmlns:c16="http://schemas.microsoft.com/office/drawing/2014/chart" uri="{C3380CC4-5D6E-409C-BE32-E72D297353CC}">
              <c16:uniqueId val="{00000001-3DC0-1D46-B58F-0F8EDBFF1B4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-10086000</c:v>
                </c:pt>
                <c:pt idx="1">
                  <c:v>1693000</c:v>
                </c:pt>
                <c:pt idx="2">
                  <c:v>-4490000</c:v>
                </c:pt>
                <c:pt idx="3">
                  <c:v>35166000</c:v>
                </c:pt>
                <c:pt idx="4">
                  <c:v>23908000</c:v>
                </c:pt>
                <c:pt idx="5">
                  <c:v>77154000</c:v>
                </c:pt>
              </c:numCache>
            </c:numRef>
          </c:val>
          <c:extLst>
            <c:ext xmlns:c16="http://schemas.microsoft.com/office/drawing/2014/chart" uri="{C3380CC4-5D6E-409C-BE32-E72D297353CC}">
              <c16:uniqueId val="{00000002-3DC0-1D46-B58F-0F8EDBFF1B48}"/>
            </c:ext>
          </c:extLst>
        </c:ser>
        <c:dLbls>
          <c:showLegendKey val="0"/>
          <c:showVal val="0"/>
          <c:showCatName val="0"/>
          <c:showSerName val="0"/>
          <c:showPercent val="0"/>
          <c:showBubbleSize val="0"/>
        </c:dLbls>
        <c:gapWidth val="100"/>
        <c:overlap val="-24"/>
        <c:axId val="1505414560"/>
        <c:axId val="1505416288"/>
      </c:barChart>
      <c:catAx>
        <c:axId val="1505414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5416288"/>
        <c:crosses val="autoZero"/>
        <c:auto val="1"/>
        <c:lblAlgn val="ctr"/>
        <c:lblOffset val="100"/>
        <c:noMultiLvlLbl val="0"/>
      </c:catAx>
      <c:valAx>
        <c:axId val="1505416288"/>
        <c:scaling>
          <c:orientation val="minMax"/>
          <c:min val="-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414560"/>
        <c:crosses val="autoZero"/>
        <c:crossBetween val="between"/>
      </c:valAx>
      <c:spPr>
        <a:noFill/>
        <a:ln>
          <a:noFill/>
        </a:ln>
        <a:effectLst/>
      </c:spPr>
    </c:plotArea>
    <c:legend>
      <c:legendPos val="b"/>
      <c:layout>
        <c:manualLayout>
          <c:xMode val="edge"/>
          <c:yMode val="edge"/>
          <c:x val="0.34689774208687491"/>
          <c:y val="0.92020003918286175"/>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33338</xdr:rowOff>
    </xdr:from>
    <xdr:to>
      <xdr:col>15</xdr:col>
      <xdr:colOff>0</xdr:colOff>
      <xdr:row>134</xdr:row>
      <xdr:rowOff>15875</xdr:rowOff>
    </xdr:to>
    <xdr:graphicFrame macro="">
      <xdr:nvGraphicFramePr>
        <xdr:cNvPr id="2" name="Chart 1">
          <a:extLst>
            <a:ext uri="{FF2B5EF4-FFF2-40B4-BE49-F238E27FC236}">
              <a16:creationId xmlns:a16="http://schemas.microsoft.com/office/drawing/2014/main" id="{63FEEA5C-C370-48C9-E1C2-916F6B824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https://www.bing.com/financeapi/forcetrigger?t=bsgk77&amp;q=XNAS%3aPGNY&amp;form=skydnc</v>
    <v>Learn more on Bing</v>
  </rv>
  <rv s="1">
    <v>0</v>
    <v>PROGYNY, INC. (XNAS:PGNY)</v>
    <v>2</v>
    <v>3</v>
    <v>Finance</v>
    <v>4</v>
    <v>en-US</v>
    <v>bsgk77</v>
    <v>268435456</v>
    <v>1</v>
    <v>Powered by Refinitiv</v>
    <v>46.5</v>
    <v>25.67</v>
    <v>1.4971000000000001</v>
    <v>-1.06</v>
    <v>-2.8237000000000002E-2</v>
    <v>0.37</v>
    <v>1.0142999999999999E-2</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37.448700000000002</v>
    <v>Healthcare Providers &amp; Services</v>
    <v>Stock</v>
    <v>45057.98174091406</v>
    <v>0</v>
    <v>36.03</v>
    <v>3440723923</v>
    <v>PROGYNY, INC.</v>
    <v>PROGYNY, INC.</v>
    <v>37.299999999999997</v>
    <v>87.138199999999998</v>
    <v>37.54</v>
    <v>36.479999999999997</v>
    <v>36.85</v>
    <v>94318090</v>
    <v>PGNY</v>
    <v>PROGYNY, INC. (XNAS:PGNY)</v>
    <v>943137</v>
    <v>802124</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1306/000155837021002082/0001558370-21-002082-index.htm" TargetMode="External"/><Relationship Id="rId13" Type="http://schemas.openxmlformats.org/officeDocument/2006/relationships/hyperlink" Target="https://www.sec.gov/Archives/edgar/data/1551306/000155130623000015/0001551306-23-00001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51306/000155837020002258/0001558370-20-002258-index.htm" TargetMode="External"/><Relationship Id="rId12" Type="http://schemas.openxmlformats.org/officeDocument/2006/relationships/hyperlink" Target="https://www.sec.gov/Archives/edgar/data/1551306/000155130623000015/0001551306-23-000015-index.htm" TargetMode="External"/><Relationship Id="rId2" Type="http://schemas.openxmlformats.org/officeDocument/2006/relationships/hyperlink" Target="https://sec.gov/" TargetMode="External"/><Relationship Id="rId1" Type="http://schemas.openxmlformats.org/officeDocument/2006/relationships/hyperlink" Target="https://roic.ai/company/PGNY" TargetMode="External"/><Relationship Id="rId6" Type="http://schemas.openxmlformats.org/officeDocument/2006/relationships/hyperlink" Target="https://www.sec.gov/Archives/edgar/data/1551306/000155837020002258/0001558370-20-002258-index.htm" TargetMode="External"/><Relationship Id="rId11" Type="http://schemas.openxmlformats.org/officeDocument/2006/relationships/hyperlink" Target="https://www.sec.gov/Archives/edgar/data/1551306/000155837022002466/0001558370-22-002466-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51306/000155837022002466/0001558370-22-00246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1306/000155837021002082/0001558370-21-002082-index.htm" TargetMode="External"/><Relationship Id="rId14" Type="http://schemas.openxmlformats.org/officeDocument/2006/relationships/hyperlink" Target="https://finbox.com/NASDAQGS:PGN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73" activePane="bottomRight" state="frozen"/>
      <selection pane="topRight"/>
      <selection pane="bottomLeft"/>
      <selection pane="bottomRight" activeCell="J89" sqref="J89"/>
    </sheetView>
  </sheetViews>
  <sheetFormatPr baseColWidth="10" defaultRowHeight="16"/>
  <cols>
    <col min="1" max="1" width="50" customWidth="1"/>
    <col min="2" max="7" width="15" customWidth="1"/>
    <col min="8" max="16" width="21" customWidth="1"/>
  </cols>
  <sheetData>
    <row r="1" spans="1:38" ht="22" thickBot="1">
      <c r="A1" s="3" t="e" vm="1">
        <v>#VALUE!</v>
      </c>
      <c r="B1" s="8">
        <v>2017</v>
      </c>
      <c r="C1" s="8">
        <v>2018</v>
      </c>
      <c r="D1" s="8">
        <v>2019</v>
      </c>
      <c r="E1" s="8">
        <v>2020</v>
      </c>
      <c r="F1" s="8">
        <v>2021</v>
      </c>
      <c r="G1" s="8">
        <v>2022</v>
      </c>
      <c r="H1" s="28">
        <v>2023</v>
      </c>
      <c r="I1" s="28">
        <v>2024</v>
      </c>
      <c r="J1" s="28">
        <v>2025</v>
      </c>
      <c r="K1" s="28">
        <v>2026</v>
      </c>
      <c r="L1" s="28">
        <v>2027</v>
      </c>
    </row>
    <row r="2" spans="1:38" ht="21">
      <c r="A2" s="4" t="s">
        <v>0</v>
      </c>
      <c r="B2" s="9" t="s">
        <v>91</v>
      </c>
      <c r="C2" s="9" t="s">
        <v>91</v>
      </c>
      <c r="D2" s="9" t="s">
        <v>91</v>
      </c>
      <c r="E2" s="9" t="s">
        <v>91</v>
      </c>
      <c r="F2" s="9" t="s">
        <v>91</v>
      </c>
      <c r="G2" s="9" t="s">
        <v>91</v>
      </c>
      <c r="H2" s="9" t="s">
        <v>91</v>
      </c>
      <c r="I2" s="9" t="s">
        <v>91</v>
      </c>
      <c r="J2" s="9"/>
      <c r="K2" s="9"/>
      <c r="L2" s="9"/>
      <c r="M2" s="9"/>
      <c r="N2" s="9"/>
      <c r="O2" s="9"/>
      <c r="P2" s="9"/>
    </row>
    <row r="3" spans="1:38" ht="40">
      <c r="A3" s="5" t="s">
        <v>1</v>
      </c>
      <c r="B3" s="1">
        <v>48584000</v>
      </c>
      <c r="C3" s="1">
        <v>105400000</v>
      </c>
      <c r="D3" s="1">
        <v>229683000</v>
      </c>
      <c r="E3" s="1">
        <v>344858000</v>
      </c>
      <c r="F3" s="1">
        <v>500621000</v>
      </c>
      <c r="G3" s="1">
        <v>786913000</v>
      </c>
      <c r="H3" s="29">
        <v>1020000000</v>
      </c>
      <c r="I3" s="29">
        <v>1280000000</v>
      </c>
      <c r="J3" s="29">
        <v>1603000000</v>
      </c>
      <c r="K3" s="29">
        <v>2062000000</v>
      </c>
      <c r="L3" s="29">
        <v>2492000000</v>
      </c>
      <c r="M3" s="19" t="s">
        <v>109</v>
      </c>
      <c r="N3" s="20" t="s">
        <v>110</v>
      </c>
      <c r="O3" s="20" t="s">
        <v>111</v>
      </c>
      <c r="P3" s="20" t="s">
        <v>112</v>
      </c>
    </row>
    <row r="4" spans="1:38" ht="19">
      <c r="A4" s="14" t="s">
        <v>94</v>
      </c>
      <c r="B4" s="1"/>
      <c r="C4" s="15">
        <f>(C3/B3)-1</f>
        <v>1.1694384982710355</v>
      </c>
      <c r="D4" s="15">
        <f>(D3/C3)-1</f>
        <v>1.1791555977229602</v>
      </c>
      <c r="E4" s="15">
        <f>(E3/D3)-1</f>
        <v>0.5014520012364867</v>
      </c>
      <c r="F4" s="15">
        <f t="shared" ref="F4:L4" si="0">(F3/E3)-1</f>
        <v>0.45167286245353155</v>
      </c>
      <c r="G4" s="15">
        <f t="shared" si="0"/>
        <v>0.5718737328238328</v>
      </c>
      <c r="H4" s="16">
        <f t="shared" si="0"/>
        <v>0.29620428179481095</v>
      </c>
      <c r="I4" s="16">
        <f t="shared" si="0"/>
        <v>0.25490196078431371</v>
      </c>
      <c r="J4" s="16">
        <f t="shared" si="0"/>
        <v>0.25234375000000009</v>
      </c>
      <c r="K4" s="16">
        <f t="shared" si="0"/>
        <v>0.28633811603243919</v>
      </c>
      <c r="L4" s="16">
        <f t="shared" si="0"/>
        <v>0.20853540252182357</v>
      </c>
      <c r="M4" s="17">
        <f>(G4+F4+E4)/3</f>
        <v>0.50833286550461698</v>
      </c>
      <c r="N4" s="17">
        <f>(G20+F20+E20)/3</f>
        <v>-0.1166260049568959</v>
      </c>
      <c r="O4" s="17">
        <f>(G29+F29+E29)/3</f>
        <v>-2.1815107644360006</v>
      </c>
      <c r="P4" s="17">
        <f>(G105+F105+E105)/3</f>
        <v>-2.3083631369376159</v>
      </c>
      <c r="AC4" s="16"/>
      <c r="AD4" s="16"/>
      <c r="AE4" s="16"/>
      <c r="AF4" s="16"/>
      <c r="AI4" s="18"/>
      <c r="AJ4" s="18"/>
      <c r="AK4" s="18"/>
      <c r="AL4" s="18"/>
    </row>
    <row r="5" spans="1:38" ht="19">
      <c r="A5" s="5" t="s">
        <v>2</v>
      </c>
      <c r="B5" s="1">
        <v>41184000</v>
      </c>
      <c r="C5" s="1">
        <v>85966000</v>
      </c>
      <c r="D5" s="1">
        <v>184178000</v>
      </c>
      <c r="E5" s="1">
        <v>274799000</v>
      </c>
      <c r="F5" s="1">
        <v>388486000</v>
      </c>
      <c r="G5" s="1">
        <v>619588000</v>
      </c>
    </row>
    <row r="6" spans="1:38" ht="20">
      <c r="A6" s="6" t="s">
        <v>3</v>
      </c>
      <c r="B6" s="10">
        <v>7400000</v>
      </c>
      <c r="C6" s="10">
        <v>19434000</v>
      </c>
      <c r="D6" s="10">
        <v>45505000</v>
      </c>
      <c r="E6" s="10">
        <v>70059000</v>
      </c>
      <c r="F6" s="10">
        <v>112135000</v>
      </c>
      <c r="G6" s="10">
        <v>167325000</v>
      </c>
      <c r="M6" s="19" t="s">
        <v>113</v>
      </c>
      <c r="N6" s="20" t="s">
        <v>114</v>
      </c>
      <c r="O6" s="20" t="s">
        <v>115</v>
      </c>
      <c r="P6" s="20" t="s">
        <v>116</v>
      </c>
    </row>
    <row r="7" spans="1:38" ht="19">
      <c r="A7" s="5" t="s">
        <v>4</v>
      </c>
      <c r="B7" s="2">
        <v>0.15229999999999999</v>
      </c>
      <c r="C7" s="2">
        <v>0.18440000000000001</v>
      </c>
      <c r="D7" s="2">
        <v>0.1981</v>
      </c>
      <c r="E7" s="2">
        <v>0.20319999999999999</v>
      </c>
      <c r="F7" s="2">
        <v>0.224</v>
      </c>
      <c r="G7" s="2">
        <v>0.21260000000000001</v>
      </c>
      <c r="M7" s="17">
        <f>G7</f>
        <v>0.21260000000000001</v>
      </c>
      <c r="N7" s="21">
        <f>G21</f>
        <v>4.8099999999999997E-2</v>
      </c>
      <c r="O7" s="21">
        <f>G30</f>
        <v>3.8600000000000002E-2</v>
      </c>
      <c r="P7" s="21">
        <f>G106/G3</f>
        <v>9.8046416821173377E-2</v>
      </c>
    </row>
    <row r="8" spans="1:38" ht="19">
      <c r="A8" s="5" t="s">
        <v>5</v>
      </c>
      <c r="B8" s="1">
        <v>0</v>
      </c>
      <c r="C8" s="1">
        <v>0</v>
      </c>
      <c r="D8" s="1">
        <v>0</v>
      </c>
      <c r="E8" s="1">
        <v>0</v>
      </c>
      <c r="F8" s="1">
        <v>0</v>
      </c>
      <c r="G8" s="1">
        <v>0</v>
      </c>
      <c r="H8" s="30"/>
    </row>
    <row r="9" spans="1:38" ht="19" customHeight="1">
      <c r="A9" s="14" t="s">
        <v>95</v>
      </c>
      <c r="B9" s="15">
        <f>B8/B3</f>
        <v>0</v>
      </c>
      <c r="C9" s="15">
        <f t="shared" ref="C9:G9" si="1">C8/C3</f>
        <v>0</v>
      </c>
      <c r="D9" s="15">
        <f t="shared" si="1"/>
        <v>0</v>
      </c>
      <c r="E9" s="15">
        <f t="shared" si="1"/>
        <v>0</v>
      </c>
      <c r="F9" s="15">
        <f t="shared" si="1"/>
        <v>0</v>
      </c>
      <c r="G9" s="15">
        <f t="shared" si="1"/>
        <v>0</v>
      </c>
      <c r="M9" s="19" t="s">
        <v>96</v>
      </c>
      <c r="N9" s="20" t="s">
        <v>97</v>
      </c>
      <c r="O9" s="20" t="s">
        <v>98</v>
      </c>
      <c r="P9" s="20" t="s">
        <v>99</v>
      </c>
    </row>
    <row r="10" spans="1:38" ht="19">
      <c r="A10" s="5" t="s">
        <v>6</v>
      </c>
      <c r="B10" s="1">
        <v>14147000</v>
      </c>
      <c r="C10" s="1">
        <v>15601000</v>
      </c>
      <c r="D10" s="1">
        <v>23927000</v>
      </c>
      <c r="E10" s="1">
        <v>46705000</v>
      </c>
      <c r="F10" s="1">
        <v>59616000</v>
      </c>
      <c r="G10" s="1">
        <v>98327000</v>
      </c>
      <c r="M10" s="17">
        <f>G9</f>
        <v>0</v>
      </c>
      <c r="N10" s="21">
        <f>G13</f>
        <v>0.18297321304896474</v>
      </c>
      <c r="O10" s="21">
        <f>G80</f>
        <v>0.12802940096300353</v>
      </c>
      <c r="P10" s="21">
        <f>G89</f>
        <v>4.1186255659774332E-3</v>
      </c>
    </row>
    <row r="11" spans="1:38" ht="19">
      <c r="A11" s="5" t="s">
        <v>7</v>
      </c>
      <c r="B11" s="1">
        <v>4258000</v>
      </c>
      <c r="C11" s="1">
        <v>7285000</v>
      </c>
      <c r="D11" s="1">
        <v>11901000</v>
      </c>
      <c r="E11" s="1">
        <v>15006000</v>
      </c>
      <c r="F11" s="1">
        <v>20179000</v>
      </c>
      <c r="G11" s="1">
        <v>45657000</v>
      </c>
    </row>
    <row r="12" spans="1:38" ht="20">
      <c r="A12" s="5" t="s">
        <v>8</v>
      </c>
      <c r="B12" s="1">
        <v>18405000</v>
      </c>
      <c r="C12" s="1">
        <v>22886000</v>
      </c>
      <c r="D12" s="1">
        <v>35828000</v>
      </c>
      <c r="E12" s="1">
        <v>61711000</v>
      </c>
      <c r="F12" s="1">
        <v>79795000</v>
      </c>
      <c r="G12" s="1">
        <v>143984000</v>
      </c>
      <c r="M12" s="19" t="s">
        <v>117</v>
      </c>
      <c r="N12" s="20" t="s">
        <v>118</v>
      </c>
      <c r="O12" s="20" t="s">
        <v>119</v>
      </c>
      <c r="P12" s="20" t="s">
        <v>120</v>
      </c>
    </row>
    <row r="13" spans="1:38" ht="19">
      <c r="A13" s="14" t="s">
        <v>100</v>
      </c>
      <c r="B13" s="15">
        <f>B12/B3</f>
        <v>0.37882842087930185</v>
      </c>
      <c r="C13" s="15">
        <f t="shared" ref="C13:G13" si="2">C12/C3</f>
        <v>0.21713472485768501</v>
      </c>
      <c r="D13" s="15">
        <f t="shared" si="2"/>
        <v>0.15598890644932364</v>
      </c>
      <c r="E13" s="15">
        <f t="shared" si="2"/>
        <v>0.1789461169524848</v>
      </c>
      <c r="F13" s="15">
        <f t="shared" si="2"/>
        <v>0.15939203509241523</v>
      </c>
      <c r="G13" s="15">
        <f t="shared" si="2"/>
        <v>0.18297321304896474</v>
      </c>
      <c r="M13" s="17">
        <f>G28/G72</f>
        <v>8.0532034549351664E-2</v>
      </c>
      <c r="N13" s="21">
        <f>G28/G54</f>
        <v>5.5909360462332365E-2</v>
      </c>
      <c r="O13" s="21">
        <f>G22/(G72+G56+G61)</f>
        <v>6.0871039248924237E-2</v>
      </c>
      <c r="P13" s="22">
        <f>G67/G72</f>
        <v>0.44040342946881433</v>
      </c>
    </row>
    <row r="14" spans="1:38" ht="19">
      <c r="A14" s="5" t="s">
        <v>9</v>
      </c>
      <c r="B14" s="1" t="s">
        <v>92</v>
      </c>
      <c r="C14" s="1" t="s">
        <v>92</v>
      </c>
      <c r="D14" s="1" t="s">
        <v>92</v>
      </c>
      <c r="E14" s="1" t="s">
        <v>92</v>
      </c>
      <c r="F14" s="1" t="s">
        <v>92</v>
      </c>
      <c r="G14" s="1" t="s">
        <v>92</v>
      </c>
    </row>
    <row r="15" spans="1:38" ht="20">
      <c r="A15" s="5" t="s">
        <v>10</v>
      </c>
      <c r="B15" s="1">
        <v>18405000</v>
      </c>
      <c r="C15" s="1">
        <v>22886000</v>
      </c>
      <c r="D15" s="1">
        <v>35828000</v>
      </c>
      <c r="E15" s="1">
        <v>61711000</v>
      </c>
      <c r="F15" s="1">
        <v>79795000</v>
      </c>
      <c r="G15" s="1">
        <v>143984000</v>
      </c>
      <c r="M15" s="19" t="s">
        <v>121</v>
      </c>
      <c r="N15" s="20" t="s">
        <v>122</v>
      </c>
      <c r="O15" s="20" t="s">
        <v>123</v>
      </c>
      <c r="P15" s="20" t="s">
        <v>124</v>
      </c>
    </row>
    <row r="16" spans="1:38" ht="19">
      <c r="A16" s="5" t="s">
        <v>11</v>
      </c>
      <c r="B16" s="1">
        <v>59589000</v>
      </c>
      <c r="C16" s="1">
        <v>108852000</v>
      </c>
      <c r="D16" s="1">
        <v>220006000</v>
      </c>
      <c r="E16" s="1">
        <v>336510000</v>
      </c>
      <c r="F16" s="1">
        <v>468281000</v>
      </c>
      <c r="G16" s="1">
        <v>763572000</v>
      </c>
      <c r="M16" s="31">
        <f>(G35+F35+E35+D35+C35)/5</f>
        <v>0.59141594753516624</v>
      </c>
      <c r="N16" s="32">
        <f>O101/G3</f>
        <v>4.3724324328102346</v>
      </c>
      <c r="O16" s="32">
        <f>O101/G28</f>
        <v>113.33829379405758</v>
      </c>
      <c r="P16" s="33">
        <f>O101/G106</f>
        <v>44.59553520232263</v>
      </c>
    </row>
    <row r="17" spans="1:13" ht="19">
      <c r="A17" s="5" t="s">
        <v>12</v>
      </c>
      <c r="B17" s="1" t="s">
        <v>92</v>
      </c>
      <c r="C17" s="1" t="s">
        <v>92</v>
      </c>
      <c r="D17" s="1">
        <v>-58000</v>
      </c>
      <c r="E17" s="1">
        <v>121000</v>
      </c>
      <c r="F17" s="1">
        <v>461000</v>
      </c>
      <c r="G17" s="1">
        <v>0</v>
      </c>
    </row>
    <row r="18" spans="1:13" ht="20">
      <c r="A18" s="5" t="s">
        <v>13</v>
      </c>
      <c r="B18" s="1">
        <v>1559000</v>
      </c>
      <c r="C18" s="1">
        <v>1883000</v>
      </c>
      <c r="D18" s="1">
        <v>2133000</v>
      </c>
      <c r="E18" s="1">
        <v>1906000</v>
      </c>
      <c r="F18" s="1">
        <v>1301000</v>
      </c>
      <c r="G18" s="1">
        <v>1601000</v>
      </c>
      <c r="M18" s="19" t="s">
        <v>125</v>
      </c>
    </row>
    <row r="19" spans="1:13" ht="19">
      <c r="A19" s="6" t="s">
        <v>14</v>
      </c>
      <c r="B19" s="10">
        <v>-10896000</v>
      </c>
      <c r="C19" s="10">
        <v>767000</v>
      </c>
      <c r="D19" s="10">
        <v>-6482000</v>
      </c>
      <c r="E19" s="10">
        <v>10706000</v>
      </c>
      <c r="F19" s="10">
        <v>34197000</v>
      </c>
      <c r="G19" s="10">
        <v>37876000</v>
      </c>
      <c r="M19" s="34">
        <f>G40-G56-G61</f>
        <v>113596000</v>
      </c>
    </row>
    <row r="20" spans="1:13" ht="19" customHeight="1">
      <c r="A20" s="14" t="s">
        <v>101</v>
      </c>
      <c r="B20" s="1"/>
      <c r="C20" s="15">
        <f>(C19/B19)-1</f>
        <v>-1.0703928046989721</v>
      </c>
      <c r="D20" s="15">
        <f>(D19/C19)-1</f>
        <v>-9.4511082138200777</v>
      </c>
      <c r="E20" s="15">
        <f>(E19/D19)-1</f>
        <v>-2.6516507250848504</v>
      </c>
      <c r="F20" s="15">
        <f t="shared" ref="F20:G20" si="3">(F19/E19)-1</f>
        <v>2.1941901737343548</v>
      </c>
      <c r="G20" s="15">
        <f t="shared" si="3"/>
        <v>0.1075825364798082</v>
      </c>
    </row>
    <row r="21" spans="1:13" ht="19">
      <c r="A21" s="5" t="s">
        <v>15</v>
      </c>
      <c r="B21" s="2">
        <v>-0.2243</v>
      </c>
      <c r="C21" s="2">
        <v>7.3000000000000001E-3</v>
      </c>
      <c r="D21" s="2">
        <v>-2.8199999999999999E-2</v>
      </c>
      <c r="E21" s="2">
        <v>3.1E-2</v>
      </c>
      <c r="F21" s="2">
        <v>6.83E-2</v>
      </c>
      <c r="G21" s="2">
        <v>4.8099999999999997E-2</v>
      </c>
    </row>
    <row r="22" spans="1:13" ht="19">
      <c r="A22" s="6" t="s">
        <v>16</v>
      </c>
      <c r="B22" s="10">
        <v>-11005000</v>
      </c>
      <c r="C22" s="10">
        <v>-3452000</v>
      </c>
      <c r="D22" s="10">
        <v>9677000</v>
      </c>
      <c r="E22" s="10">
        <v>8348000</v>
      </c>
      <c r="F22" s="10">
        <v>32340000</v>
      </c>
      <c r="G22" s="10">
        <v>23341000</v>
      </c>
    </row>
    <row r="23" spans="1:13" ht="19">
      <c r="A23" s="5" t="s">
        <v>17</v>
      </c>
      <c r="B23" s="2">
        <v>-0.22650000000000001</v>
      </c>
      <c r="C23" s="2">
        <v>-3.2800000000000003E-2</v>
      </c>
      <c r="D23" s="2">
        <v>4.2099999999999999E-2</v>
      </c>
      <c r="E23" s="2">
        <v>2.4199999999999999E-2</v>
      </c>
      <c r="F23" s="2">
        <v>6.4600000000000005E-2</v>
      </c>
      <c r="G23" s="2">
        <v>2.9700000000000001E-2</v>
      </c>
    </row>
    <row r="24" spans="1:13" ht="19">
      <c r="A24" s="5" t="s">
        <v>18</v>
      </c>
      <c r="B24" s="1">
        <v>-1454000</v>
      </c>
      <c r="C24" s="1">
        <v>-3441000</v>
      </c>
      <c r="D24" s="1">
        <v>-18234000</v>
      </c>
      <c r="E24" s="1">
        <v>331000</v>
      </c>
      <c r="F24" s="1">
        <v>95000</v>
      </c>
      <c r="G24" s="1">
        <v>1100000</v>
      </c>
    </row>
    <row r="25" spans="1:13" ht="19">
      <c r="A25" s="6" t="s">
        <v>19</v>
      </c>
      <c r="B25" s="10">
        <v>-12459000</v>
      </c>
      <c r="C25" s="10">
        <v>-6893000</v>
      </c>
      <c r="D25" s="10">
        <v>-8557000</v>
      </c>
      <c r="E25" s="10">
        <v>8679000</v>
      </c>
      <c r="F25" s="10">
        <v>32435000</v>
      </c>
      <c r="G25" s="10">
        <v>24441000</v>
      </c>
    </row>
    <row r="26" spans="1:13" ht="19">
      <c r="A26" s="5" t="s">
        <v>20</v>
      </c>
      <c r="B26" s="2">
        <v>-0.25640000000000002</v>
      </c>
      <c r="C26" s="2">
        <v>-6.54E-2</v>
      </c>
      <c r="D26" s="2">
        <v>-3.73E-2</v>
      </c>
      <c r="E26" s="2">
        <v>2.52E-2</v>
      </c>
      <c r="F26" s="2">
        <v>6.4799999999999996E-2</v>
      </c>
      <c r="G26" s="2">
        <v>3.1099999999999999E-2</v>
      </c>
    </row>
    <row r="27" spans="1:13" ht="19">
      <c r="A27" s="5" t="s">
        <v>21</v>
      </c>
      <c r="B27" s="1">
        <v>-3000</v>
      </c>
      <c r="C27" s="1">
        <v>-1777000</v>
      </c>
      <c r="D27" s="1">
        <v>12000</v>
      </c>
      <c r="E27" s="1">
        <v>-37780000</v>
      </c>
      <c r="F27" s="1">
        <v>-33334000</v>
      </c>
      <c r="G27" s="1">
        <v>5917000</v>
      </c>
    </row>
    <row r="28" spans="1:13" ht="20" thickBot="1">
      <c r="A28" s="7" t="s">
        <v>22</v>
      </c>
      <c r="B28" s="11">
        <v>-12452000</v>
      </c>
      <c r="C28" s="11">
        <v>661000</v>
      </c>
      <c r="D28" s="11">
        <v>-8569000</v>
      </c>
      <c r="E28" s="11">
        <v>46459000</v>
      </c>
      <c r="F28" s="11">
        <v>65769000</v>
      </c>
      <c r="G28" s="11">
        <v>30358000</v>
      </c>
    </row>
    <row r="29" spans="1:13" ht="20" customHeight="1" thickTop="1">
      <c r="A29" s="14" t="s">
        <v>102</v>
      </c>
      <c r="B29" s="1"/>
      <c r="C29" s="15">
        <f>(C28/B28)-1</f>
        <v>-1.0530838419530999</v>
      </c>
      <c r="D29" s="15">
        <f>(D28/C28)-1</f>
        <v>-13.963691376701966</v>
      </c>
      <c r="E29" s="15">
        <f>(E28/D28)-1</f>
        <v>-6.4217528299684909</v>
      </c>
      <c r="F29" s="15">
        <f t="shared" ref="F29:G29" si="4">(F28/E28)-1</f>
        <v>0.41563529133214239</v>
      </c>
      <c r="G29" s="15">
        <f t="shared" si="4"/>
        <v>-0.53841475467165378</v>
      </c>
    </row>
    <row r="30" spans="1:13" ht="19">
      <c r="A30" s="5" t="s">
        <v>23</v>
      </c>
      <c r="B30" s="2">
        <v>-0.25629999999999997</v>
      </c>
      <c r="C30" s="2">
        <v>6.3E-3</v>
      </c>
      <c r="D30" s="2">
        <v>-3.73E-2</v>
      </c>
      <c r="E30" s="2">
        <v>0.13469999999999999</v>
      </c>
      <c r="F30" s="2">
        <v>0.13139999999999999</v>
      </c>
      <c r="G30" s="2">
        <v>3.8600000000000002E-2</v>
      </c>
    </row>
    <row r="31" spans="1:13" ht="19">
      <c r="A31" s="5" t="s">
        <v>24</v>
      </c>
      <c r="B31" s="12">
        <v>-0.19</v>
      </c>
      <c r="C31" s="12">
        <v>0.01</v>
      </c>
      <c r="D31" s="12">
        <v>-0.41</v>
      </c>
      <c r="E31" s="12">
        <v>0.54</v>
      </c>
      <c r="F31" s="12">
        <v>0.73</v>
      </c>
      <c r="G31" s="12">
        <v>0.34</v>
      </c>
    </row>
    <row r="32" spans="1:13" ht="19">
      <c r="A32" s="5" t="s">
        <v>25</v>
      </c>
      <c r="B32" s="12">
        <v>-0.19</v>
      </c>
      <c r="C32" s="12">
        <v>0.01</v>
      </c>
      <c r="D32" s="12">
        <v>-0.41</v>
      </c>
      <c r="E32" s="12">
        <v>0.47</v>
      </c>
      <c r="F32" s="12">
        <v>0.66</v>
      </c>
      <c r="G32" s="12">
        <v>0.3</v>
      </c>
    </row>
    <row r="33" spans="1:7" ht="19">
      <c r="A33" s="5" t="s">
        <v>26</v>
      </c>
      <c r="B33" s="1">
        <v>70592652</v>
      </c>
      <c r="C33" s="1">
        <v>71499944</v>
      </c>
      <c r="D33" s="1">
        <v>20735202</v>
      </c>
      <c r="E33" s="1">
        <v>85722670</v>
      </c>
      <c r="F33" s="1">
        <v>89571226</v>
      </c>
      <c r="G33" s="1">
        <v>89571226</v>
      </c>
    </row>
    <row r="34" spans="1:7" ht="19">
      <c r="A34" s="5" t="s">
        <v>27</v>
      </c>
      <c r="B34" s="1">
        <v>81561714</v>
      </c>
      <c r="C34" s="1">
        <v>71499944</v>
      </c>
      <c r="D34" s="1">
        <v>20735202</v>
      </c>
      <c r="E34" s="1">
        <v>99055526</v>
      </c>
      <c r="F34" s="1">
        <v>100370331</v>
      </c>
      <c r="G34" s="1">
        <v>100370331</v>
      </c>
    </row>
    <row r="35" spans="1:7" ht="20" customHeight="1">
      <c r="A35" s="14" t="s">
        <v>103</v>
      </c>
      <c r="B35" s="1"/>
      <c r="C35" s="23">
        <f>(C34-B34)/B34</f>
        <v>-0.12336388614883693</v>
      </c>
      <c r="D35" s="23">
        <f t="shared" ref="D35:G35" si="5">(D34-C34)/C34</f>
        <v>-0.70999694768991706</v>
      </c>
      <c r="E35" s="23">
        <f t="shared" si="5"/>
        <v>3.7771671575709753</v>
      </c>
      <c r="F35" s="23">
        <f t="shared" si="5"/>
        <v>1.327341394360977E-2</v>
      </c>
      <c r="G35" s="23">
        <f t="shared" si="5"/>
        <v>0</v>
      </c>
    </row>
    <row r="36" spans="1:7" ht="19">
      <c r="A36" s="5" t="s">
        <v>28</v>
      </c>
      <c r="B36" s="13" t="s">
        <v>93</v>
      </c>
      <c r="C36" s="13" t="s">
        <v>93</v>
      </c>
      <c r="D36" s="13" t="s">
        <v>93</v>
      </c>
      <c r="E36" s="13" t="s">
        <v>93</v>
      </c>
      <c r="F36" s="13" t="s">
        <v>93</v>
      </c>
      <c r="G36" s="13" t="s">
        <v>93</v>
      </c>
    </row>
    <row r="37" spans="1:7" ht="21">
      <c r="A37" s="4" t="s">
        <v>29</v>
      </c>
      <c r="B37" s="9" t="s">
        <v>91</v>
      </c>
      <c r="C37" s="9" t="s">
        <v>91</v>
      </c>
      <c r="D37" s="9" t="s">
        <v>91</v>
      </c>
      <c r="E37" s="9" t="s">
        <v>91</v>
      </c>
      <c r="F37" s="9" t="s">
        <v>91</v>
      </c>
      <c r="G37" s="9" t="s">
        <v>91</v>
      </c>
    </row>
    <row r="38" spans="1:7" ht="19">
      <c r="A38" s="5" t="s">
        <v>30</v>
      </c>
      <c r="B38" s="1">
        <v>4691000</v>
      </c>
      <c r="C38" s="1">
        <v>127000</v>
      </c>
      <c r="D38" s="1">
        <v>80382000</v>
      </c>
      <c r="E38" s="1">
        <v>70305000</v>
      </c>
      <c r="F38" s="1">
        <v>91413000</v>
      </c>
      <c r="G38" s="1" t="s">
        <v>92</v>
      </c>
    </row>
    <row r="39" spans="1:7" ht="19">
      <c r="A39" s="5" t="s">
        <v>31</v>
      </c>
      <c r="B39" s="1" t="s">
        <v>92</v>
      </c>
      <c r="C39" s="1" t="s">
        <v>92</v>
      </c>
      <c r="D39" s="1" t="s">
        <v>92</v>
      </c>
      <c r="E39" s="1">
        <v>38994000</v>
      </c>
      <c r="F39" s="1">
        <v>28005000</v>
      </c>
      <c r="G39" s="1" t="s">
        <v>92</v>
      </c>
    </row>
    <row r="40" spans="1:7" ht="19">
      <c r="A40" s="5" t="s">
        <v>32</v>
      </c>
      <c r="B40" s="1">
        <v>4691000</v>
      </c>
      <c r="C40" s="1">
        <v>127000</v>
      </c>
      <c r="D40" s="1">
        <v>80382000</v>
      </c>
      <c r="E40" s="1">
        <v>109299000</v>
      </c>
      <c r="F40" s="1">
        <v>119418000</v>
      </c>
      <c r="G40" s="1">
        <v>120078000</v>
      </c>
    </row>
    <row r="41" spans="1:7" ht="19">
      <c r="A41" s="5" t="s">
        <v>33</v>
      </c>
      <c r="B41" s="1">
        <v>11373000</v>
      </c>
      <c r="C41" s="1">
        <v>23325000</v>
      </c>
      <c r="D41" s="1">
        <v>47059000</v>
      </c>
      <c r="E41" s="1">
        <v>75664000</v>
      </c>
      <c r="F41" s="1">
        <v>134557000</v>
      </c>
      <c r="G41" s="1">
        <v>240067000</v>
      </c>
    </row>
    <row r="42" spans="1:7" ht="19">
      <c r="A42" s="5" t="s">
        <v>34</v>
      </c>
      <c r="B42" s="1" t="s">
        <v>92</v>
      </c>
      <c r="C42" s="1" t="s">
        <v>92</v>
      </c>
      <c r="D42" s="1" t="s">
        <v>92</v>
      </c>
      <c r="E42" s="1" t="s">
        <v>92</v>
      </c>
      <c r="F42" s="1" t="s">
        <v>92</v>
      </c>
      <c r="G42" s="1" t="s">
        <v>92</v>
      </c>
    </row>
    <row r="43" spans="1:7" ht="19">
      <c r="A43" s="5" t="s">
        <v>35</v>
      </c>
      <c r="B43" s="1">
        <v>706000</v>
      </c>
      <c r="C43" s="1">
        <v>1085000</v>
      </c>
      <c r="D43" s="1">
        <v>5003000</v>
      </c>
      <c r="E43" s="1">
        <v>5259000</v>
      </c>
      <c r="F43" s="1">
        <v>4564000</v>
      </c>
      <c r="G43" s="1">
        <v>193789000</v>
      </c>
    </row>
    <row r="44" spans="1:7" ht="19">
      <c r="A44" s="6" t="s">
        <v>36</v>
      </c>
      <c r="B44" s="10">
        <v>16770000</v>
      </c>
      <c r="C44" s="10">
        <v>24537000</v>
      </c>
      <c r="D44" s="10">
        <v>132444000</v>
      </c>
      <c r="E44" s="10">
        <v>190222000</v>
      </c>
      <c r="F44" s="10">
        <v>258539000</v>
      </c>
      <c r="G44" s="10">
        <v>433856000</v>
      </c>
    </row>
    <row r="45" spans="1:7" ht="19">
      <c r="A45" s="5" t="s">
        <v>37</v>
      </c>
      <c r="B45" s="1">
        <v>597000</v>
      </c>
      <c r="C45" s="1">
        <v>776000</v>
      </c>
      <c r="D45" s="1">
        <v>3083000</v>
      </c>
      <c r="E45" s="1">
        <v>12068000</v>
      </c>
      <c r="F45" s="1">
        <v>12832000</v>
      </c>
      <c r="G45" s="1">
        <v>15274000</v>
      </c>
    </row>
    <row r="46" spans="1:7" ht="19">
      <c r="A46" s="5" t="s">
        <v>38</v>
      </c>
      <c r="B46" s="1">
        <v>11880000</v>
      </c>
      <c r="C46" s="1">
        <v>11880000</v>
      </c>
      <c r="D46" s="1">
        <v>11880000</v>
      </c>
      <c r="E46" s="1">
        <v>11880000</v>
      </c>
      <c r="F46" s="1">
        <v>11880000</v>
      </c>
      <c r="G46" s="1">
        <v>11880000</v>
      </c>
    </row>
    <row r="47" spans="1:7" ht="19">
      <c r="A47" s="5" t="s">
        <v>39</v>
      </c>
      <c r="B47" s="1">
        <v>5342000</v>
      </c>
      <c r="C47" s="1">
        <v>3859000</v>
      </c>
      <c r="D47" s="1">
        <v>2375000</v>
      </c>
      <c r="E47" s="1">
        <v>1213000</v>
      </c>
      <c r="F47" s="1">
        <v>599000</v>
      </c>
      <c r="G47" s="1">
        <v>99000</v>
      </c>
    </row>
    <row r="48" spans="1:7" ht="19">
      <c r="A48" s="5" t="s">
        <v>40</v>
      </c>
      <c r="B48" s="1">
        <v>17222000</v>
      </c>
      <c r="C48" s="1">
        <v>15739000</v>
      </c>
      <c r="D48" s="1">
        <v>14255000</v>
      </c>
      <c r="E48" s="1">
        <v>13093000</v>
      </c>
      <c r="F48" s="1">
        <v>12479000</v>
      </c>
      <c r="G48" s="1">
        <v>11979000</v>
      </c>
    </row>
    <row r="49" spans="1:7" ht="19">
      <c r="A49" s="5" t="s">
        <v>41</v>
      </c>
      <c r="B49" s="1" t="s">
        <v>92</v>
      </c>
      <c r="C49" s="1" t="s">
        <v>92</v>
      </c>
      <c r="D49" s="1" t="s">
        <v>92</v>
      </c>
      <c r="E49" s="1" t="s">
        <v>92</v>
      </c>
      <c r="F49" s="1" t="s">
        <v>92</v>
      </c>
      <c r="G49" s="1" t="s">
        <v>92</v>
      </c>
    </row>
    <row r="50" spans="1:7" ht="19">
      <c r="A50" s="5" t="s">
        <v>42</v>
      </c>
      <c r="B50" s="1" t="s">
        <v>92</v>
      </c>
      <c r="C50" s="1" t="s">
        <v>92</v>
      </c>
      <c r="D50" s="1" t="s">
        <v>92</v>
      </c>
      <c r="E50" s="1">
        <v>37971000</v>
      </c>
      <c r="F50" s="1">
        <v>71274000</v>
      </c>
      <c r="G50" s="1">
        <v>77889000</v>
      </c>
    </row>
    <row r="51" spans="1:7" ht="19">
      <c r="A51" s="5" t="s">
        <v>43</v>
      </c>
      <c r="B51" s="1">
        <v>372000</v>
      </c>
      <c r="C51" s="1">
        <v>272000</v>
      </c>
      <c r="D51" s="1">
        <v>652000</v>
      </c>
      <c r="E51" s="1">
        <v>573000</v>
      </c>
      <c r="F51" s="1">
        <v>2941000</v>
      </c>
      <c r="G51" s="1">
        <v>3988000</v>
      </c>
    </row>
    <row r="52" spans="1:7" ht="19">
      <c r="A52" s="5" t="s">
        <v>44</v>
      </c>
      <c r="B52" s="1">
        <v>18191000</v>
      </c>
      <c r="C52" s="1">
        <v>16787000</v>
      </c>
      <c r="D52" s="1">
        <v>17990000</v>
      </c>
      <c r="E52" s="1">
        <v>63705000</v>
      </c>
      <c r="F52" s="1">
        <v>99526000</v>
      </c>
      <c r="G52" s="1">
        <v>109130000</v>
      </c>
    </row>
    <row r="53" spans="1:7" ht="19">
      <c r="A53" s="5" t="s">
        <v>45</v>
      </c>
      <c r="B53" s="1" t="s">
        <v>92</v>
      </c>
      <c r="C53" s="1" t="s">
        <v>92</v>
      </c>
      <c r="D53" s="1" t="s">
        <v>92</v>
      </c>
      <c r="E53" s="1" t="s">
        <v>92</v>
      </c>
      <c r="F53" s="1" t="s">
        <v>92</v>
      </c>
      <c r="G53" s="1" t="s">
        <v>92</v>
      </c>
    </row>
    <row r="54" spans="1:7" ht="20" thickBot="1">
      <c r="A54" s="7" t="s">
        <v>46</v>
      </c>
      <c r="B54" s="11">
        <v>34961000</v>
      </c>
      <c r="C54" s="11">
        <v>41324000</v>
      </c>
      <c r="D54" s="11">
        <v>150434000</v>
      </c>
      <c r="E54" s="11">
        <v>253927000</v>
      </c>
      <c r="F54" s="11">
        <v>358065000</v>
      </c>
      <c r="G54" s="11">
        <v>542986000</v>
      </c>
    </row>
    <row r="55" spans="1:7" ht="20" thickTop="1">
      <c r="A55" s="5" t="s">
        <v>47</v>
      </c>
      <c r="B55" s="1">
        <v>5130000</v>
      </c>
      <c r="C55" s="1">
        <v>15578000</v>
      </c>
      <c r="D55" s="1">
        <v>19388000</v>
      </c>
      <c r="E55" s="1">
        <v>43514000</v>
      </c>
      <c r="F55" s="1">
        <v>61399000</v>
      </c>
      <c r="G55" s="1">
        <v>109287000</v>
      </c>
    </row>
    <row r="56" spans="1:7" ht="19">
      <c r="A56" s="5" t="s">
        <v>48</v>
      </c>
      <c r="B56" s="1" t="s">
        <v>92</v>
      </c>
      <c r="C56" s="1" t="s">
        <v>92</v>
      </c>
      <c r="D56" s="1" t="s">
        <v>92</v>
      </c>
      <c r="E56" s="1" t="s">
        <v>92</v>
      </c>
      <c r="F56" s="1">
        <v>1231000</v>
      </c>
      <c r="G56" s="1">
        <v>0</v>
      </c>
    </row>
    <row r="57" spans="1:7" ht="19">
      <c r="A57" s="5" t="s">
        <v>49</v>
      </c>
      <c r="B57" s="1" t="s">
        <v>92</v>
      </c>
      <c r="C57" s="1" t="s">
        <v>92</v>
      </c>
      <c r="D57" s="1" t="s">
        <v>92</v>
      </c>
      <c r="E57" s="1" t="s">
        <v>92</v>
      </c>
      <c r="F57" s="1" t="s">
        <v>92</v>
      </c>
      <c r="G57" s="1" t="s">
        <v>92</v>
      </c>
    </row>
    <row r="58" spans="1:7" ht="19">
      <c r="A58" s="5" t="s">
        <v>50</v>
      </c>
      <c r="B58" s="1" t="s">
        <v>92</v>
      </c>
      <c r="C58" s="1" t="s">
        <v>92</v>
      </c>
      <c r="D58" s="1" t="s">
        <v>92</v>
      </c>
      <c r="E58" s="1" t="s">
        <v>92</v>
      </c>
      <c r="F58" s="1" t="s">
        <v>92</v>
      </c>
      <c r="G58" s="1" t="s">
        <v>92</v>
      </c>
    </row>
    <row r="59" spans="1:7" ht="19">
      <c r="A59" s="5" t="s">
        <v>51</v>
      </c>
      <c r="B59" s="1">
        <v>12640000</v>
      </c>
      <c r="C59" s="1">
        <v>14624000</v>
      </c>
      <c r="D59" s="1">
        <v>16775000</v>
      </c>
      <c r="E59" s="1">
        <v>34272000</v>
      </c>
      <c r="F59" s="1">
        <v>36194000</v>
      </c>
      <c r="G59" s="1">
        <v>50249000</v>
      </c>
    </row>
    <row r="60" spans="1:7" ht="19">
      <c r="A60" s="6" t="s">
        <v>52</v>
      </c>
      <c r="B60" s="10">
        <v>17770000</v>
      </c>
      <c r="C60" s="10">
        <v>30202000</v>
      </c>
      <c r="D60" s="10">
        <v>36163000</v>
      </c>
      <c r="E60" s="10">
        <v>77786000</v>
      </c>
      <c r="F60" s="10">
        <v>98824000</v>
      </c>
      <c r="G60" s="10">
        <v>159536000</v>
      </c>
    </row>
    <row r="61" spans="1:7" ht="19">
      <c r="A61" s="5" t="s">
        <v>53</v>
      </c>
      <c r="B61" s="1">
        <v>1632000</v>
      </c>
      <c r="C61" s="1" t="s">
        <v>92</v>
      </c>
      <c r="D61" s="1" t="s">
        <v>92</v>
      </c>
      <c r="E61" s="1">
        <v>8318000</v>
      </c>
      <c r="F61" s="1">
        <v>7419000</v>
      </c>
      <c r="G61" s="1">
        <v>6482000</v>
      </c>
    </row>
    <row r="62" spans="1:7" ht="19">
      <c r="A62" s="5" t="s">
        <v>50</v>
      </c>
      <c r="B62" s="1" t="s">
        <v>92</v>
      </c>
      <c r="C62" s="1" t="s">
        <v>92</v>
      </c>
      <c r="D62" s="1" t="s">
        <v>92</v>
      </c>
      <c r="E62" s="1" t="s">
        <v>92</v>
      </c>
      <c r="F62" s="1" t="s">
        <v>92</v>
      </c>
      <c r="G62" s="1" t="s">
        <v>92</v>
      </c>
    </row>
    <row r="63" spans="1:7" ht="19">
      <c r="A63" s="5" t="s">
        <v>54</v>
      </c>
      <c r="B63" s="1" t="s">
        <v>92</v>
      </c>
      <c r="C63" s="1" t="s">
        <v>92</v>
      </c>
      <c r="D63" s="1" t="s">
        <v>92</v>
      </c>
      <c r="E63" s="1" t="s">
        <v>92</v>
      </c>
      <c r="F63" s="1" t="s">
        <v>92</v>
      </c>
      <c r="G63" s="1" t="s">
        <v>92</v>
      </c>
    </row>
    <row r="64" spans="1:7" ht="19">
      <c r="A64" s="5" t="s">
        <v>55</v>
      </c>
      <c r="B64" s="1">
        <v>4869000</v>
      </c>
      <c r="C64" s="1" t="s">
        <v>92</v>
      </c>
      <c r="D64" s="1" t="s">
        <v>92</v>
      </c>
      <c r="E64" s="1">
        <v>876000</v>
      </c>
      <c r="F64" s="1" t="s">
        <v>92</v>
      </c>
      <c r="G64" s="1" t="s">
        <v>92</v>
      </c>
    </row>
    <row r="65" spans="1:15" ht="19">
      <c r="A65" s="5" t="s">
        <v>56</v>
      </c>
      <c r="B65" s="1">
        <v>6501000</v>
      </c>
      <c r="C65" s="1" t="s">
        <v>92</v>
      </c>
      <c r="D65" s="1" t="s">
        <v>92</v>
      </c>
      <c r="E65" s="1">
        <v>9194000</v>
      </c>
      <c r="F65" s="1">
        <v>7419000</v>
      </c>
      <c r="G65" s="1">
        <v>6482000</v>
      </c>
    </row>
    <row r="66" spans="1:15" ht="19">
      <c r="A66" s="5" t="s">
        <v>57</v>
      </c>
      <c r="B66" s="1" t="s">
        <v>92</v>
      </c>
      <c r="C66" s="1" t="s">
        <v>92</v>
      </c>
      <c r="D66" s="1" t="s">
        <v>92</v>
      </c>
      <c r="E66" s="1" t="s">
        <v>92</v>
      </c>
      <c r="F66" s="1" t="s">
        <v>92</v>
      </c>
      <c r="G66" s="1" t="s">
        <v>92</v>
      </c>
    </row>
    <row r="67" spans="1:15" ht="19">
      <c r="A67" s="6" t="s">
        <v>58</v>
      </c>
      <c r="B67" s="10">
        <v>24271000</v>
      </c>
      <c r="C67" s="10">
        <v>30202000</v>
      </c>
      <c r="D67" s="10">
        <v>36163000</v>
      </c>
      <c r="E67" s="10">
        <v>86980000</v>
      </c>
      <c r="F67" s="10">
        <v>106243000</v>
      </c>
      <c r="G67" s="10">
        <v>166018000</v>
      </c>
    </row>
    <row r="68" spans="1:15" ht="19">
      <c r="A68" s="5" t="s">
        <v>59</v>
      </c>
      <c r="B68" s="1">
        <v>1000</v>
      </c>
      <c r="C68" s="1">
        <v>1000</v>
      </c>
      <c r="D68" s="1">
        <v>8000</v>
      </c>
      <c r="E68" s="1">
        <v>9000</v>
      </c>
      <c r="F68" s="1">
        <v>9000</v>
      </c>
      <c r="G68" s="1">
        <v>9000</v>
      </c>
    </row>
    <row r="69" spans="1:15" ht="19">
      <c r="A69" s="5" t="s">
        <v>60</v>
      </c>
      <c r="B69" s="1">
        <v>-104556000</v>
      </c>
      <c r="C69" s="1">
        <v>-104854000</v>
      </c>
      <c r="D69" s="1">
        <v>-113483000</v>
      </c>
      <c r="E69" s="1">
        <v>-68193000</v>
      </c>
      <c r="F69" s="1">
        <v>-2424000</v>
      </c>
      <c r="G69" s="1">
        <v>27934000</v>
      </c>
    </row>
    <row r="70" spans="1:15" ht="19">
      <c r="A70" s="5" t="s">
        <v>61</v>
      </c>
      <c r="B70" s="1">
        <v>-83000</v>
      </c>
      <c r="C70" s="1">
        <v>-483000</v>
      </c>
      <c r="D70" s="1">
        <v>-1133000</v>
      </c>
      <c r="E70" s="1">
        <v>1000</v>
      </c>
      <c r="F70" s="1">
        <v>-93000</v>
      </c>
      <c r="G70" s="1">
        <v>501000</v>
      </c>
    </row>
    <row r="71" spans="1:15" ht="19">
      <c r="A71" s="5" t="s">
        <v>62</v>
      </c>
      <c r="B71" s="1">
        <v>7016000</v>
      </c>
      <c r="C71" s="1">
        <v>10221000</v>
      </c>
      <c r="D71" s="1">
        <v>228879000</v>
      </c>
      <c r="E71" s="1">
        <v>235130000</v>
      </c>
      <c r="F71" s="1">
        <v>254330000</v>
      </c>
      <c r="G71" s="1">
        <v>348524000</v>
      </c>
    </row>
    <row r="72" spans="1:15" ht="19">
      <c r="A72" s="6" t="s">
        <v>63</v>
      </c>
      <c r="B72" s="10">
        <v>10690000</v>
      </c>
      <c r="C72" s="10">
        <v>11122000</v>
      </c>
      <c r="D72" s="10">
        <v>114271000</v>
      </c>
      <c r="E72" s="10">
        <v>166947000</v>
      </c>
      <c r="F72" s="10">
        <v>251822000</v>
      </c>
      <c r="G72" s="10">
        <v>376968000</v>
      </c>
    </row>
    <row r="73" spans="1:15" ht="20" thickBot="1">
      <c r="A73" s="7" t="s">
        <v>64</v>
      </c>
      <c r="B73" s="11">
        <v>34961000</v>
      </c>
      <c r="C73" s="11">
        <v>41324000</v>
      </c>
      <c r="D73" s="11">
        <v>150434000</v>
      </c>
      <c r="E73" s="11">
        <v>253927000</v>
      </c>
      <c r="F73" s="11">
        <v>358065000</v>
      </c>
      <c r="G73" s="11">
        <v>542986000</v>
      </c>
    </row>
    <row r="74" spans="1:15" ht="20" thickTop="1">
      <c r="A74" s="5" t="s">
        <v>28</v>
      </c>
      <c r="B74" s="13" t="s">
        <v>93</v>
      </c>
      <c r="C74" s="13" t="s">
        <v>93</v>
      </c>
      <c r="D74" s="13" t="s">
        <v>93</v>
      </c>
      <c r="E74" s="13" t="s">
        <v>93</v>
      </c>
      <c r="F74" s="13" t="s">
        <v>93</v>
      </c>
      <c r="G74" s="13" t="s">
        <v>93</v>
      </c>
    </row>
    <row r="75" spans="1:15" ht="21">
      <c r="A75" s="4" t="s">
        <v>65</v>
      </c>
      <c r="B75" s="9" t="s">
        <v>91</v>
      </c>
      <c r="C75" s="9" t="s">
        <v>91</v>
      </c>
      <c r="D75" s="9" t="s">
        <v>91</v>
      </c>
      <c r="E75" s="9" t="s">
        <v>91</v>
      </c>
      <c r="F75" s="9" t="s">
        <v>91</v>
      </c>
      <c r="G75" s="9" t="s">
        <v>91</v>
      </c>
    </row>
    <row r="76" spans="1:15" ht="19">
      <c r="A76" s="5" t="s">
        <v>66</v>
      </c>
      <c r="B76" s="1">
        <v>-12452000</v>
      </c>
      <c r="C76" s="1">
        <v>661000</v>
      </c>
      <c r="D76" s="1">
        <v>-8569000</v>
      </c>
      <c r="E76" s="1">
        <v>46459000</v>
      </c>
      <c r="F76" s="1">
        <v>65769000</v>
      </c>
      <c r="G76" s="1">
        <v>30358000</v>
      </c>
    </row>
    <row r="77" spans="1:15" ht="19">
      <c r="A77" s="5" t="s">
        <v>13</v>
      </c>
      <c r="B77" s="1">
        <v>1559000</v>
      </c>
      <c r="C77" s="1">
        <v>1883000</v>
      </c>
      <c r="D77" s="1">
        <v>2133000</v>
      </c>
      <c r="E77" s="1">
        <v>1906000</v>
      </c>
      <c r="F77" s="1">
        <v>1301000</v>
      </c>
      <c r="G77" s="1">
        <v>1601000</v>
      </c>
    </row>
    <row r="78" spans="1:15" ht="19">
      <c r="A78" s="5" t="s">
        <v>67</v>
      </c>
      <c r="B78" s="1">
        <v>-3000</v>
      </c>
      <c r="C78" s="1">
        <v>-1777000</v>
      </c>
      <c r="D78" s="1">
        <v>12000</v>
      </c>
      <c r="E78" s="1">
        <v>-37971000</v>
      </c>
      <c r="F78" s="1">
        <v>-33303000</v>
      </c>
      <c r="G78" s="1">
        <v>-6615000</v>
      </c>
    </row>
    <row r="79" spans="1:15" ht="19">
      <c r="A79" s="5" t="s">
        <v>68</v>
      </c>
      <c r="B79" s="1">
        <v>1559000</v>
      </c>
      <c r="C79" s="1">
        <v>2997000</v>
      </c>
      <c r="D79" s="1">
        <v>5061000</v>
      </c>
      <c r="E79" s="1">
        <v>12821000</v>
      </c>
      <c r="F79" s="1">
        <v>33706000</v>
      </c>
      <c r="G79" s="1">
        <v>100748000</v>
      </c>
    </row>
    <row r="80" spans="1:15" ht="19">
      <c r="A80" s="14" t="s">
        <v>104</v>
      </c>
      <c r="B80" s="15">
        <f t="shared" ref="B80:G80" si="6">B79/B3</f>
        <v>3.2088753499094354E-2</v>
      </c>
      <c r="C80" s="15">
        <f t="shared" si="6"/>
        <v>2.8434535104364327E-2</v>
      </c>
      <c r="D80" s="15">
        <f t="shared" si="6"/>
        <v>2.2034717414871802E-2</v>
      </c>
      <c r="E80" s="15">
        <f t="shared" si="6"/>
        <v>3.7177620933833637E-2</v>
      </c>
      <c r="F80" s="15">
        <f t="shared" si="6"/>
        <v>6.7328378154332319E-2</v>
      </c>
      <c r="G80" s="15">
        <f t="shared" si="6"/>
        <v>0.12802940096300353</v>
      </c>
      <c r="H80" s="15"/>
      <c r="I80" s="15"/>
      <c r="J80" s="15"/>
      <c r="K80" s="15"/>
      <c r="L80" s="15"/>
      <c r="M80" s="15"/>
      <c r="N80" s="15"/>
      <c r="O80" s="15"/>
    </row>
    <row r="81" spans="1:15" ht="19">
      <c r="A81" s="5" t="s">
        <v>69</v>
      </c>
      <c r="B81" s="1">
        <v>-1425000</v>
      </c>
      <c r="C81" s="1">
        <v>354000</v>
      </c>
      <c r="D81" s="1">
        <v>-19954000</v>
      </c>
      <c r="E81" s="1">
        <v>7351000</v>
      </c>
      <c r="F81" s="1">
        <v>-51257000</v>
      </c>
      <c r="G81" s="1">
        <v>-45697000</v>
      </c>
    </row>
    <row r="82" spans="1:15" ht="19">
      <c r="A82" s="5" t="s">
        <v>70</v>
      </c>
      <c r="B82" s="1">
        <v>-2044000</v>
      </c>
      <c r="C82" s="1">
        <v>-12776000</v>
      </c>
      <c r="D82" s="1">
        <v>-25342000</v>
      </c>
      <c r="E82" s="1">
        <v>-35336000</v>
      </c>
      <c r="F82" s="1">
        <v>-68676000</v>
      </c>
      <c r="G82" s="1">
        <v>-119304000</v>
      </c>
    </row>
    <row r="83" spans="1:15" ht="21">
      <c r="A83" s="5" t="s">
        <v>34</v>
      </c>
      <c r="B83" s="1" t="s">
        <v>92</v>
      </c>
      <c r="C83" s="1" t="s">
        <v>92</v>
      </c>
      <c r="D83" s="1" t="s">
        <v>92</v>
      </c>
      <c r="E83" s="1" t="s">
        <v>92</v>
      </c>
      <c r="F83" s="1" t="s">
        <v>92</v>
      </c>
      <c r="G83" s="1" t="s">
        <v>92</v>
      </c>
      <c r="N83" s="63" t="s">
        <v>126</v>
      </c>
      <c r="O83" s="64"/>
    </row>
    <row r="84" spans="1:15" ht="19">
      <c r="A84" s="5" t="s">
        <v>47</v>
      </c>
      <c r="B84" s="1">
        <v>-909000</v>
      </c>
      <c r="C84" s="1">
        <v>10448000</v>
      </c>
      <c r="D84" s="1">
        <v>3501000</v>
      </c>
      <c r="E84" s="1">
        <v>25008000</v>
      </c>
      <c r="F84" s="1">
        <v>17840000</v>
      </c>
      <c r="G84" s="1">
        <v>47689000</v>
      </c>
      <c r="N84" s="65" t="s">
        <v>127</v>
      </c>
      <c r="O84" s="66"/>
    </row>
    <row r="85" spans="1:15" ht="20">
      <c r="A85" s="5" t="s">
        <v>71</v>
      </c>
      <c r="B85" s="1">
        <v>-279000</v>
      </c>
      <c r="C85" s="1">
        <v>100000</v>
      </c>
      <c r="D85" s="1">
        <v>-380000</v>
      </c>
      <c r="E85" s="1">
        <v>605000</v>
      </c>
      <c r="F85" s="1">
        <v>-3280000</v>
      </c>
      <c r="G85" s="1" t="s">
        <v>92</v>
      </c>
      <c r="N85" s="24" t="s">
        <v>128</v>
      </c>
      <c r="O85" s="25">
        <f>G17</f>
        <v>0</v>
      </c>
    </row>
    <row r="86" spans="1:15" ht="20">
      <c r="A86" s="5" t="s">
        <v>72</v>
      </c>
      <c r="B86" s="1">
        <v>1288000</v>
      </c>
      <c r="C86" s="1">
        <v>-1846000</v>
      </c>
      <c r="D86" s="1">
        <v>19783000</v>
      </c>
      <c r="E86" s="1">
        <v>5637000</v>
      </c>
      <c r="F86" s="1">
        <v>9821000</v>
      </c>
      <c r="G86" s="1" t="s">
        <v>92</v>
      </c>
      <c r="N86" s="24" t="s">
        <v>129</v>
      </c>
      <c r="O86" s="25">
        <f>G56</f>
        <v>0</v>
      </c>
    </row>
    <row r="87" spans="1:15" ht="20">
      <c r="A87" s="6" t="s">
        <v>73</v>
      </c>
      <c r="B87" s="10">
        <v>-9474000</v>
      </c>
      <c r="C87" s="10">
        <v>2272000</v>
      </c>
      <c r="D87" s="10">
        <v>-1534000</v>
      </c>
      <c r="E87" s="10">
        <v>36203000</v>
      </c>
      <c r="F87" s="10">
        <v>26037000</v>
      </c>
      <c r="G87" s="10">
        <v>80395000</v>
      </c>
      <c r="N87" s="24" t="s">
        <v>130</v>
      </c>
      <c r="O87" s="25">
        <f>G61</f>
        <v>6482000</v>
      </c>
    </row>
    <row r="88" spans="1:15" ht="20">
      <c r="A88" s="5" t="s">
        <v>74</v>
      </c>
      <c r="B88" s="1">
        <v>-612000</v>
      </c>
      <c r="C88" s="1">
        <v>-579000</v>
      </c>
      <c r="D88" s="1">
        <v>-2956000</v>
      </c>
      <c r="E88" s="1">
        <v>-1037000</v>
      </c>
      <c r="F88" s="1">
        <v>-2129000</v>
      </c>
      <c r="G88" s="1">
        <v>-3241000</v>
      </c>
      <c r="N88" s="35" t="s">
        <v>131</v>
      </c>
      <c r="O88" s="36">
        <f>O85/(O86+O87)</f>
        <v>0</v>
      </c>
    </row>
    <row r="89" spans="1:15" ht="20" customHeight="1">
      <c r="A89" s="14" t="s">
        <v>105</v>
      </c>
      <c r="B89" s="15">
        <f t="shared" ref="B89:G89" si="7">(-1*B88)/B3</f>
        <v>1.2596739667380208E-2</v>
      </c>
      <c r="C89" s="15">
        <f t="shared" si="7"/>
        <v>5.4933586337760909E-3</v>
      </c>
      <c r="D89" s="15">
        <f t="shared" si="7"/>
        <v>1.2869912009160451E-2</v>
      </c>
      <c r="E89" s="15">
        <f t="shared" si="7"/>
        <v>3.0070347795324451E-3</v>
      </c>
      <c r="F89" s="15">
        <f t="shared" si="7"/>
        <v>4.2527181240898807E-3</v>
      </c>
      <c r="G89" s="15">
        <f t="shared" si="7"/>
        <v>4.1186255659774332E-3</v>
      </c>
      <c r="N89" s="24" t="s">
        <v>106</v>
      </c>
      <c r="O89" s="25">
        <f>G27</f>
        <v>5917000</v>
      </c>
    </row>
    <row r="90" spans="1:15" ht="20">
      <c r="A90" s="5" t="s">
        <v>75</v>
      </c>
      <c r="B90" s="1" t="s">
        <v>92</v>
      </c>
      <c r="C90" s="1" t="s">
        <v>92</v>
      </c>
      <c r="D90" s="1" t="s">
        <v>92</v>
      </c>
      <c r="E90" s="1" t="s">
        <v>92</v>
      </c>
      <c r="F90" s="1" t="s">
        <v>92</v>
      </c>
      <c r="G90" s="1" t="s">
        <v>92</v>
      </c>
      <c r="N90" s="24" t="s">
        <v>19</v>
      </c>
      <c r="O90" s="25">
        <f>G25</f>
        <v>24441000</v>
      </c>
    </row>
    <row r="91" spans="1:15" ht="20">
      <c r="A91" s="5" t="s">
        <v>76</v>
      </c>
      <c r="B91" s="1" t="s">
        <v>92</v>
      </c>
      <c r="C91" s="1" t="s">
        <v>92</v>
      </c>
      <c r="D91" s="1" t="s">
        <v>92</v>
      </c>
      <c r="E91" s="1">
        <v>-103964000</v>
      </c>
      <c r="F91" s="1">
        <v>-111477000</v>
      </c>
      <c r="G91" s="1">
        <v>-163334000</v>
      </c>
      <c r="N91" s="35" t="s">
        <v>132</v>
      </c>
      <c r="O91" s="36">
        <f>O89/O90</f>
        <v>0.24209320404238779</v>
      </c>
    </row>
    <row r="92" spans="1:15" ht="20">
      <c r="A92" s="5" t="s">
        <v>77</v>
      </c>
      <c r="B92" s="1" t="s">
        <v>92</v>
      </c>
      <c r="C92" s="1" t="s">
        <v>92</v>
      </c>
      <c r="D92" s="1" t="s">
        <v>92</v>
      </c>
      <c r="E92" s="1">
        <v>64970000</v>
      </c>
      <c r="F92" s="1">
        <v>122372000</v>
      </c>
      <c r="G92" s="1">
        <v>122709000</v>
      </c>
      <c r="N92" s="37" t="s">
        <v>133</v>
      </c>
      <c r="O92" s="38">
        <f>O88*(1-O91)</f>
        <v>0</v>
      </c>
    </row>
    <row r="93" spans="1:15" ht="19">
      <c r="A93" s="5" t="s">
        <v>78</v>
      </c>
      <c r="B93" s="1" t="s">
        <v>92</v>
      </c>
      <c r="C93" s="1">
        <v>2481000</v>
      </c>
      <c r="D93" s="1">
        <v>200000</v>
      </c>
      <c r="E93" s="1" t="s">
        <v>92</v>
      </c>
      <c r="F93" s="1" t="s">
        <v>92</v>
      </c>
      <c r="G93" s="1" t="s">
        <v>92</v>
      </c>
      <c r="N93" s="65" t="s">
        <v>134</v>
      </c>
      <c r="O93" s="66"/>
    </row>
    <row r="94" spans="1:15" ht="20">
      <c r="A94" s="6" t="s">
        <v>79</v>
      </c>
      <c r="B94" s="10">
        <v>-612000</v>
      </c>
      <c r="C94" s="10">
        <v>1902000</v>
      </c>
      <c r="D94" s="10">
        <v>-2756000</v>
      </c>
      <c r="E94" s="10">
        <v>-40031000</v>
      </c>
      <c r="F94" s="10">
        <v>8766000</v>
      </c>
      <c r="G94" s="10">
        <v>-43866000</v>
      </c>
      <c r="N94" s="24" t="s">
        <v>135</v>
      </c>
      <c r="O94" s="39">
        <v>4.095E-2</v>
      </c>
    </row>
    <row r="95" spans="1:15" ht="20">
      <c r="A95" s="5" t="s">
        <v>80</v>
      </c>
      <c r="B95" s="1">
        <v>-3259000</v>
      </c>
      <c r="C95" s="1">
        <v>-69519000</v>
      </c>
      <c r="D95" s="1">
        <v>-182278000</v>
      </c>
      <c r="E95" s="1" t="s">
        <v>92</v>
      </c>
      <c r="F95" s="1" t="s">
        <v>92</v>
      </c>
      <c r="G95" s="1" t="s">
        <v>92</v>
      </c>
      <c r="N95" s="24" t="s">
        <v>136</v>
      </c>
      <c r="O95" s="40" cm="1">
        <f t="array" ref="O95">_FV(A1,"Beta")</f>
        <v>1.4971000000000001</v>
      </c>
    </row>
    <row r="96" spans="1:15" ht="20">
      <c r="A96" s="5" t="s">
        <v>81</v>
      </c>
      <c r="B96" s="1" t="s">
        <v>92</v>
      </c>
      <c r="C96" s="1" t="s">
        <v>92</v>
      </c>
      <c r="D96" s="1">
        <v>78385000</v>
      </c>
      <c r="E96" s="1" t="s">
        <v>92</v>
      </c>
      <c r="F96" s="1" t="s">
        <v>92</v>
      </c>
      <c r="G96" s="1" t="s">
        <v>92</v>
      </c>
      <c r="N96" s="24" t="s">
        <v>137</v>
      </c>
      <c r="O96" s="39">
        <v>8.4000000000000005E-2</v>
      </c>
    </row>
    <row r="97" spans="1:16" ht="20">
      <c r="A97" s="5" t="s">
        <v>82</v>
      </c>
      <c r="B97" s="1" t="s">
        <v>92</v>
      </c>
      <c r="C97" s="1">
        <v>-3705000</v>
      </c>
      <c r="D97" s="1">
        <v>-185000</v>
      </c>
      <c r="E97" s="1" t="s">
        <v>92</v>
      </c>
      <c r="F97" s="1" t="s">
        <v>92</v>
      </c>
      <c r="G97" s="1" t="s">
        <v>92</v>
      </c>
      <c r="N97" s="37" t="s">
        <v>138</v>
      </c>
      <c r="O97" s="38">
        <f>(O94)+((O95)*(O96-O94))</f>
        <v>0.10540015500000001</v>
      </c>
    </row>
    <row r="98" spans="1:16" ht="19">
      <c r="A98" s="5" t="s">
        <v>83</v>
      </c>
      <c r="B98" s="1" t="s">
        <v>92</v>
      </c>
      <c r="C98" s="1" t="s">
        <v>92</v>
      </c>
      <c r="D98" s="1" t="s">
        <v>92</v>
      </c>
      <c r="E98" s="1" t="s">
        <v>92</v>
      </c>
      <c r="F98" s="1" t="s">
        <v>92</v>
      </c>
      <c r="G98" s="1" t="s">
        <v>92</v>
      </c>
      <c r="N98" s="65" t="s">
        <v>139</v>
      </c>
      <c r="O98" s="66"/>
    </row>
    <row r="99" spans="1:16" ht="20">
      <c r="A99" s="5" t="s">
        <v>84</v>
      </c>
      <c r="B99" s="1">
        <v>15025000</v>
      </c>
      <c r="C99" s="1">
        <v>64486000</v>
      </c>
      <c r="D99" s="1">
        <v>188623000</v>
      </c>
      <c r="E99" s="1">
        <v>-6249000</v>
      </c>
      <c r="F99" s="1">
        <v>-13695000</v>
      </c>
      <c r="G99" s="1">
        <v>-7864000</v>
      </c>
      <c r="N99" s="24" t="s">
        <v>140</v>
      </c>
      <c r="O99" s="25">
        <f>O86+O87</f>
        <v>6482000</v>
      </c>
    </row>
    <row r="100" spans="1:16" ht="20">
      <c r="A100" s="6" t="s">
        <v>85</v>
      </c>
      <c r="B100" s="10">
        <v>11766000</v>
      </c>
      <c r="C100" s="10">
        <v>-8738000</v>
      </c>
      <c r="D100" s="10">
        <v>84545000</v>
      </c>
      <c r="E100" s="10">
        <v>-6249000</v>
      </c>
      <c r="F100" s="10">
        <v>-13695000</v>
      </c>
      <c r="G100" s="10">
        <v>-7864000</v>
      </c>
      <c r="N100" s="35" t="s">
        <v>141</v>
      </c>
      <c r="O100" s="36">
        <f>O99/O103</f>
        <v>1.8803634435505118E-3</v>
      </c>
    </row>
    <row r="101" spans="1:16" ht="20">
      <c r="A101" s="5" t="s">
        <v>86</v>
      </c>
      <c r="B101" s="1" t="s">
        <v>92</v>
      </c>
      <c r="C101" s="1" t="s">
        <v>92</v>
      </c>
      <c r="D101" s="1" t="s">
        <v>92</v>
      </c>
      <c r="E101" s="1" t="s">
        <v>92</v>
      </c>
      <c r="F101" s="1" t="s">
        <v>92</v>
      </c>
      <c r="G101" s="1" t="s">
        <v>92</v>
      </c>
      <c r="N101" s="24" t="s">
        <v>142</v>
      </c>
      <c r="O101" s="41" cm="1">
        <f t="array" ref="O101">_FV(A1,"Market cap",TRUE)</f>
        <v>3440723923</v>
      </c>
    </row>
    <row r="102" spans="1:16" ht="20">
      <c r="A102" s="6" t="s">
        <v>87</v>
      </c>
      <c r="B102" s="10">
        <v>1680000</v>
      </c>
      <c r="C102" s="10">
        <v>-4564000</v>
      </c>
      <c r="D102" s="10">
        <v>80255000</v>
      </c>
      <c r="E102" s="10">
        <v>-10077000</v>
      </c>
      <c r="F102" s="10">
        <v>21108000</v>
      </c>
      <c r="G102" s="10">
        <v>28665000</v>
      </c>
      <c r="N102" s="35" t="s">
        <v>143</v>
      </c>
      <c r="O102" s="36">
        <f>O101/O103</f>
        <v>0.99811963655644953</v>
      </c>
    </row>
    <row r="103" spans="1:16" ht="20">
      <c r="A103" s="5" t="s">
        <v>88</v>
      </c>
      <c r="B103" s="1">
        <v>3011000</v>
      </c>
      <c r="C103" s="1">
        <v>4691000</v>
      </c>
      <c r="D103" s="1">
        <v>127000</v>
      </c>
      <c r="E103" s="1">
        <v>80382000</v>
      </c>
      <c r="F103" s="1">
        <v>70305000</v>
      </c>
      <c r="G103" s="1">
        <v>91413000</v>
      </c>
      <c r="N103" s="37" t="s">
        <v>144</v>
      </c>
      <c r="O103" s="42">
        <f>O99+O101</f>
        <v>3447205923</v>
      </c>
    </row>
    <row r="104" spans="1:16" ht="20" thickBot="1">
      <c r="A104" s="7" t="s">
        <v>89</v>
      </c>
      <c r="B104" s="11">
        <v>4691000</v>
      </c>
      <c r="C104" s="11">
        <v>127000</v>
      </c>
      <c r="D104" s="11">
        <v>80382000</v>
      </c>
      <c r="E104" s="11">
        <v>70305000</v>
      </c>
      <c r="F104" s="11">
        <v>91413000</v>
      </c>
      <c r="G104" s="11">
        <v>120078000</v>
      </c>
      <c r="N104" s="65" t="s">
        <v>145</v>
      </c>
      <c r="O104" s="66"/>
    </row>
    <row r="105" spans="1:16" ht="21" thickTop="1">
      <c r="A105" s="14" t="s">
        <v>107</v>
      </c>
      <c r="B105" s="1"/>
      <c r="C105" s="15">
        <f>(C106/B106)-1</f>
        <v>-1.1678564346619076</v>
      </c>
      <c r="D105" s="15">
        <f>(D106/C106)-1</f>
        <v>-3.6520968694624925</v>
      </c>
      <c r="E105" s="15">
        <f>(E106/D106)-1</f>
        <v>-8.8320712694877503</v>
      </c>
      <c r="F105" s="15">
        <f>(F106/E106)-1</f>
        <v>-0.32013877040323035</v>
      </c>
      <c r="G105" s="15">
        <f>(G106/F106)-1</f>
        <v>2.2271206290781329</v>
      </c>
      <c r="H105" s="15"/>
      <c r="I105" s="15"/>
      <c r="J105" s="15"/>
      <c r="K105" s="15"/>
      <c r="L105" s="15"/>
      <c r="M105" s="15"/>
      <c r="N105" s="26" t="s">
        <v>108</v>
      </c>
      <c r="O105" s="27">
        <f>(O100*O92)+(O102*O97)</f>
        <v>0.10520196440159346</v>
      </c>
      <c r="P105" s="15"/>
    </row>
    <row r="106" spans="1:16" ht="19">
      <c r="A106" s="5" t="s">
        <v>90</v>
      </c>
      <c r="B106" s="1">
        <v>-10086000</v>
      </c>
      <c r="C106" s="1">
        <v>1693000</v>
      </c>
      <c r="D106" s="1">
        <v>-4490000</v>
      </c>
      <c r="E106" s="1">
        <v>35166000</v>
      </c>
      <c r="F106" s="1">
        <v>23908000</v>
      </c>
      <c r="G106" s="1">
        <v>77154000</v>
      </c>
      <c r="H106" s="43">
        <f>G106*(1+$O$106)</f>
        <v>97188170.435597077</v>
      </c>
      <c r="I106" s="43">
        <f t="shared" ref="I106:L106" si="8">H106*(1+$O$106)</f>
        <v>122424507.77171198</v>
      </c>
      <c r="J106" s="43">
        <f t="shared" si="8"/>
        <v>154213831.12750113</v>
      </c>
      <c r="K106" s="43">
        <f t="shared" si="8"/>
        <v>194257719.66645885</v>
      </c>
      <c r="L106" s="43">
        <f t="shared" si="8"/>
        <v>244699592.5988833</v>
      </c>
      <c r="M106" s="44" t="s">
        <v>146</v>
      </c>
      <c r="N106" s="45" t="s">
        <v>147</v>
      </c>
      <c r="O106" s="46">
        <f>(SUM(H4:L4)/5)</f>
        <v>0.25966470222667748</v>
      </c>
    </row>
    <row r="107" spans="1:16" ht="19">
      <c r="A107" s="5"/>
      <c r="B107" s="13"/>
      <c r="C107" s="13"/>
      <c r="D107" s="13"/>
      <c r="E107" s="13"/>
      <c r="F107" s="13"/>
      <c r="G107" s="13"/>
      <c r="H107" s="44"/>
      <c r="I107" s="44"/>
      <c r="J107" s="44"/>
      <c r="K107" s="44"/>
      <c r="L107" s="47">
        <f>L106*(1+O107)/(O108-O107)</f>
        <v>3127318442.6997914</v>
      </c>
      <c r="M107" s="48" t="s">
        <v>148</v>
      </c>
      <c r="N107" s="49" t="s">
        <v>149</v>
      </c>
      <c r="O107" s="50">
        <v>2.5000000000000001E-2</v>
      </c>
    </row>
    <row r="108" spans="1:16" ht="19">
      <c r="H108" s="47">
        <f t="shared" ref="H108:J108" si="9">H107+H106</f>
        <v>97188170.435597077</v>
      </c>
      <c r="I108" s="47">
        <f t="shared" si="9"/>
        <v>122424507.77171198</v>
      </c>
      <c r="J108" s="47">
        <f t="shared" si="9"/>
        <v>154213831.12750113</v>
      </c>
      <c r="K108" s="47">
        <f>K107+K106</f>
        <v>194257719.66645885</v>
      </c>
      <c r="L108" s="47">
        <f>L107+L106</f>
        <v>3372018035.2986746</v>
      </c>
      <c r="M108" s="48" t="s">
        <v>144</v>
      </c>
      <c r="N108" s="51" t="s">
        <v>150</v>
      </c>
      <c r="O108" s="52">
        <f>O105</f>
        <v>0.10520196440159346</v>
      </c>
    </row>
    <row r="109" spans="1:16" ht="19">
      <c r="H109" s="61" t="s">
        <v>151</v>
      </c>
      <c r="I109" s="62"/>
    </row>
    <row r="110" spans="1:16" ht="20">
      <c r="H110" s="53" t="s">
        <v>152</v>
      </c>
      <c r="I110" s="41">
        <f>NPV(O108,H108,I108,J108,K108,L108)</f>
        <v>2477544177.9578638</v>
      </c>
    </row>
    <row r="111" spans="1:16" ht="20">
      <c r="H111" s="53" t="s">
        <v>153</v>
      </c>
      <c r="I111" s="41">
        <f>G40</f>
        <v>120078000</v>
      </c>
    </row>
    <row r="112" spans="1:16" ht="20">
      <c r="H112" s="53" t="s">
        <v>140</v>
      </c>
      <c r="I112" s="41">
        <f>O99</f>
        <v>6482000</v>
      </c>
    </row>
    <row r="113" spans="8:9" ht="20">
      <c r="H113" s="53" t="s">
        <v>154</v>
      </c>
      <c r="I113" s="41">
        <f>I110+I111-I112</f>
        <v>2591140177.9578638</v>
      </c>
    </row>
    <row r="114" spans="8:9" ht="20">
      <c r="H114" s="53" t="s">
        <v>155</v>
      </c>
      <c r="I114" s="54" cm="1">
        <f t="array" ref="I114">_FV(A1,"Shares outstanding",TRUE)</f>
        <v>94318090</v>
      </c>
    </row>
    <row r="115" spans="8:9" ht="20">
      <c r="H115" s="55" t="s">
        <v>156</v>
      </c>
      <c r="I115" s="56">
        <f>I113/I114</f>
        <v>27.472356341798946</v>
      </c>
    </row>
    <row r="116" spans="8:9" ht="20">
      <c r="H116" s="53" t="s">
        <v>157</v>
      </c>
      <c r="I116" s="57" cm="1">
        <f t="array" ref="I116">_FV(A1,"Price")</f>
        <v>36.479999999999997</v>
      </c>
    </row>
    <row r="117" spans="8:9" ht="20">
      <c r="H117" s="58" t="s">
        <v>158</v>
      </c>
      <c r="I117" s="59">
        <f>I115/I116-1</f>
        <v>-0.24692005641998493</v>
      </c>
    </row>
    <row r="118" spans="8:9" ht="20">
      <c r="H118" s="58" t="s">
        <v>159</v>
      </c>
      <c r="I118" s="60" t="str">
        <f>IF(I115&gt;I116,"BUY","SELL")</f>
        <v>SELL</v>
      </c>
    </row>
  </sheetData>
  <mergeCells count="6">
    <mergeCell ref="H109:I109"/>
    <mergeCell ref="N83:O83"/>
    <mergeCell ref="N84:O84"/>
    <mergeCell ref="N93:O93"/>
    <mergeCell ref="N98:O98"/>
    <mergeCell ref="N104:O104"/>
  </mergeCells>
  <hyperlinks>
    <hyperlink ref="A1" r:id="rId1" tooltip="https://roic.ai/company/PGNY" display="ROIC.AI | PGN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51306/000155837020002258/0001558370-20-002258-index.htm" xr:uid="{00000000-0004-0000-0000-000007000000}"/>
    <hyperlink ref="D74" r:id="rId7" tooltip="https://www.sec.gov/Archives/edgar/data/1551306/000155837020002258/0001558370-20-002258-index.htm" xr:uid="{00000000-0004-0000-0000-000008000000}"/>
    <hyperlink ref="E36" r:id="rId8" tooltip="https://www.sec.gov/Archives/edgar/data/1551306/000155837021002082/0001558370-21-002082-index.htm" xr:uid="{00000000-0004-0000-0000-00000A000000}"/>
    <hyperlink ref="E74" r:id="rId9" tooltip="https://www.sec.gov/Archives/edgar/data/1551306/000155837021002082/0001558370-21-002082-index.htm" xr:uid="{00000000-0004-0000-0000-00000B000000}"/>
    <hyperlink ref="F36" r:id="rId10" tooltip="https://www.sec.gov/Archives/edgar/data/1551306/000155837022002466/0001558370-22-002466-index.htm" xr:uid="{00000000-0004-0000-0000-00000D000000}"/>
    <hyperlink ref="F74" r:id="rId11" tooltip="https://www.sec.gov/Archives/edgar/data/1551306/000155837022002466/0001558370-22-002466-index.htm" xr:uid="{00000000-0004-0000-0000-00000E000000}"/>
    <hyperlink ref="G36" r:id="rId12" tooltip="https://www.sec.gov/Archives/edgar/data/1551306/000155130623000015/0001551306-23-000015-index.htm" xr:uid="{00000000-0004-0000-0000-000010000000}"/>
    <hyperlink ref="G74" r:id="rId13" tooltip="https://www.sec.gov/Archives/edgar/data/1551306/000155130623000015/0001551306-23-000015-index.htm" xr:uid="{00000000-0004-0000-0000-000011000000}"/>
    <hyperlink ref="H1" r:id="rId14" display="https://finbox.com/NASDAQGS:PGNY/explorer/revenue_proj" xr:uid="{6000C77C-99F5-194F-B328-871088F014A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2023-03-14T04:32:56Z</dcterms:created>
  <dcterms:modified xsi:type="dcterms:W3CDTF">2023-05-12T04:20:26Z</dcterms:modified>
</cp:coreProperties>
</file>