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A81FAD66-D259-8440-8009-39658BD1EA1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7" i="1" l="1"/>
  <c r="C107" i="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M21" i="1" a="1"/>
  <c r="AM21" i="1" s="1"/>
  <c r="AH116" i="1" a="1"/>
  <c r="AH116" i="1" s="1"/>
  <c r="AN19" i="1" s="1"/>
  <c r="AN101" i="1" a="1"/>
  <c r="AN101" i="1" s="1"/>
  <c r="AM19" i="1" s="1"/>
  <c r="AN95" i="1" a="1"/>
  <c r="AN95" i="1" s="1"/>
  <c r="AN97" i="1" s="1"/>
  <c r="AL19" i="1"/>
  <c r="AH114" i="1"/>
  <c r="AH111" i="1"/>
  <c r="AN90" i="1"/>
  <c r="AN89" i="1"/>
  <c r="AN91" i="1" s="1"/>
  <c r="AN87" i="1"/>
  <c r="AN88" i="1" s="1"/>
  <c r="AN86" i="1"/>
  <c r="AN99" i="1" s="1"/>
  <c r="AN85" i="1"/>
  <c r="AL16" i="1"/>
  <c r="AO13" i="1"/>
  <c r="AN13" i="1"/>
  <c r="AM13" i="1"/>
  <c r="AL13" i="1"/>
  <c r="AO10" i="1"/>
  <c r="AN10" i="1"/>
  <c r="AM10" i="1"/>
  <c r="AL10" i="1"/>
  <c r="AO7" i="1"/>
  <c r="AN7" i="1"/>
  <c r="AM7" i="1"/>
  <c r="AL7" i="1"/>
  <c r="AO4" i="1"/>
  <c r="AN4" i="1"/>
  <c r="AM4" i="1"/>
  <c r="AL4" i="1"/>
  <c r="AK4" i="1"/>
  <c r="AJ4" i="1"/>
  <c r="AI4" i="1"/>
  <c r="AH4" i="1"/>
  <c r="AG4" i="1"/>
  <c r="W4" i="1"/>
  <c r="X4" i="1"/>
  <c r="Y4" i="1"/>
  <c r="Z4" i="1"/>
  <c r="AA4" i="1"/>
  <c r="AB4" i="1"/>
  <c r="AC4" i="1"/>
  <c r="AD4" i="1"/>
  <c r="AE4" i="1"/>
  <c r="AF4" i="1"/>
  <c r="R9" i="1"/>
  <c r="S9" i="1"/>
  <c r="T9" i="1"/>
  <c r="U9" i="1"/>
  <c r="V9" i="1"/>
  <c r="W9" i="1"/>
  <c r="X9" i="1"/>
  <c r="Y9" i="1"/>
  <c r="Z9" i="1"/>
  <c r="AA9" i="1"/>
  <c r="AB9" i="1"/>
  <c r="AC9" i="1"/>
  <c r="AD9" i="1"/>
  <c r="AE9" i="1"/>
  <c r="AF9" i="1"/>
  <c r="R13" i="1"/>
  <c r="S13" i="1"/>
  <c r="T13" i="1"/>
  <c r="U13" i="1"/>
  <c r="V13" i="1"/>
  <c r="W13" i="1"/>
  <c r="X13" i="1"/>
  <c r="Y13" i="1"/>
  <c r="Z13" i="1"/>
  <c r="AA13" i="1"/>
  <c r="AB13" i="1"/>
  <c r="AC13" i="1"/>
  <c r="AD13" i="1"/>
  <c r="AE13" i="1"/>
  <c r="AF13" i="1"/>
  <c r="R20" i="1"/>
  <c r="S20" i="1"/>
  <c r="T20" i="1"/>
  <c r="U20" i="1"/>
  <c r="V20" i="1"/>
  <c r="W20" i="1"/>
  <c r="X20" i="1"/>
  <c r="Y20" i="1"/>
  <c r="Z20" i="1"/>
  <c r="AA20" i="1"/>
  <c r="AB20" i="1"/>
  <c r="AC20" i="1"/>
  <c r="AD20" i="1"/>
  <c r="AE20" i="1"/>
  <c r="AF20" i="1"/>
  <c r="R29" i="1"/>
  <c r="S29" i="1"/>
  <c r="T29" i="1"/>
  <c r="U29" i="1"/>
  <c r="V29" i="1"/>
  <c r="W29" i="1"/>
  <c r="X29" i="1"/>
  <c r="Y29" i="1"/>
  <c r="Z29" i="1"/>
  <c r="AA29" i="1"/>
  <c r="AB29" i="1"/>
  <c r="AC29" i="1"/>
  <c r="AD29" i="1"/>
  <c r="AE29" i="1"/>
  <c r="AF29" i="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R105" i="1"/>
  <c r="S105" i="1"/>
  <c r="T105" i="1"/>
  <c r="U105" i="1"/>
  <c r="V105" i="1"/>
  <c r="W105" i="1"/>
  <c r="X105" i="1"/>
  <c r="Y105" i="1"/>
  <c r="Z105" i="1"/>
  <c r="AA105" i="1"/>
  <c r="AB105" i="1"/>
  <c r="AC105" i="1"/>
  <c r="AD105" i="1"/>
  <c r="AE105" i="1"/>
  <c r="AF105" i="1"/>
  <c r="Q105" i="1"/>
  <c r="P105" i="1"/>
  <c r="O105" i="1"/>
  <c r="N105" i="1"/>
  <c r="M105" i="1"/>
  <c r="L105" i="1"/>
  <c r="K105" i="1"/>
  <c r="J105" i="1"/>
  <c r="I105" i="1"/>
  <c r="H105" i="1"/>
  <c r="G105" i="1"/>
  <c r="F105" i="1"/>
  <c r="E105" i="1"/>
  <c r="D105" i="1"/>
  <c r="C105"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N16" i="1" l="1"/>
  <c r="AO16" i="1"/>
  <c r="AM16" i="1"/>
  <c r="AN106" i="1"/>
  <c r="AG106" i="1" s="1"/>
  <c r="AG108" i="1" s="1"/>
  <c r="AN103" i="1"/>
  <c r="AN102" i="1" s="1"/>
  <c r="AH112" i="1"/>
  <c r="AN92" i="1"/>
  <c r="AH106" i="1" l="1"/>
  <c r="AI106" i="1" s="1"/>
  <c r="AJ106" i="1" s="1"/>
  <c r="AK106" i="1" s="1"/>
  <c r="AN100" i="1"/>
  <c r="AN105" i="1" s="1"/>
  <c r="AN108" i="1" s="1"/>
  <c r="AK107" i="1" l="1"/>
  <c r="AK108" i="1" s="1"/>
  <c r="AH110" i="1" s="1"/>
  <c r="AH113" i="1" s="1"/>
  <c r="AH115" i="1" s="1"/>
  <c r="AH118" i="1" s="1"/>
  <c r="AJ108" i="1"/>
  <c r="AH108" i="1"/>
  <c r="AI108" i="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<sst xmlns="http://schemas.openxmlformats.org/spreadsheetml/2006/main" count="914" uniqueCount="163">
  <si>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</si>
  <si>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</si>
  <si>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</si>
  <si>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</si>
  <si>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</si>
  <si>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</si>
  <si>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</si>
  <si>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</si>
  <si>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</si>
  <si>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</si>
  <si>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</si>
  <si>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</si>
  <si>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</si>
  <si>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</si>
  <si>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</si>
  <si>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</si>
  <si>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</si>
  <si>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</si>
  <si>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</si>
  <si>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</si>
  <si>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</si>
  <si>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</si>
  <si>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</si>
  <si>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</si>
  <si>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</si>
  <si>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</si>
  <si>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</si>
  <si>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</si>
  <si>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</si>
  <si>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</si>
  <si>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</si>
  <si>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</si>
  <si>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</si>
  <si>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</si>
  <si>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</si>
  <si>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</si>
  <si>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</si>
  <si>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</si>
  <si>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</si>
  <si>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</si>
  <si>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</si>
  <si>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</si>
  <si>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</si>
  <si>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</si>
  <si>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</si>
  <si>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</si>
  <si>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</si>
  <si>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</si>
  <si>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</si>
  <si>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</si>
  <si>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</si>
  <si>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</si>
  <si>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</si>
  <si>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</si>
  <si>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</si>
  <si>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</si>
  <si>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</si>
  <si>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</si>
  <si>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</si>
  <si>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</si>
  <si>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</si>
  <si>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</si>
  <si>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</si>
  <si>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</si>
  <si>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</si>
  <si>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</si>
  <si>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</si>
  <si>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</si>
  <si>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</si>
  <si>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</si>
  <si>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</si>
  <si>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</si>
  <si>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</si>
  <si>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</si>
  <si>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</si>
  <si>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</si>
  <si>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</si>
  <si>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</si>
  <si>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</si>
  <si>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</si>
  <si>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</si>
  <si>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</si>
  <si>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</si>
  <si>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</si>
  <si>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</si>
  <si>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</si>
  <si>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</si>
  <si>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</si>
  <si>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</si>
  <si>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</si>
  <si>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</si>
  <si>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</si>
  <si>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</si>
  <si>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</si>
  <si>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</si>
  <si>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</si>
  <si>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</si>
  <si>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</si>
  <si>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</si>
  <si>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</si>
  <si>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</si>
  <si>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</si>
  <si>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</si>
  <si>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</si>
  <si>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</si>
  <si>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</si>
  <si>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</si>
  <si>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</si>
  <si>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</si>
  <si>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</si>
  <si>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</si>
  <si>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</si>
  <si>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</si>
  <si>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</si>
  <si>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</si>
  <si>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</si>
  <si>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</si>
  <si>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</si>
  <si>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</si>
  <si>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</si>
  <si>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</si>
  <si>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</si>
  <si>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</si>
  <si>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</si>
  <si>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</si>
  <si>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</si>
  <si>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</si>
  <si>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</si>
  <si>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</si>
  <si>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</si>
  <si>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</si>
  <si>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</si>
  <si>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</si>
  <si>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</si>
  <si>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</si>
  <si>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</si>
  <si>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</si>
  <si>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</si>
  <si>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</si>
  <si>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</si>
  <si>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</si>
  <si>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</si>
  <si>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</si>
  <si>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</si>
  <si>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</si>
  <si>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</si>
  <si>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</si>
  <si>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</si>
  <si>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</si>
  <si>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</si>
  <si>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</si>
  <si>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</si>
  <si>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</si>
  <si>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</si>
  <si>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</si>
  <si>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</si>
  <si>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</si>
  <si>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</si>
  <si>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</si>
  <si>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</si>
  <si>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</si>
  <si>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 xml:space="preserve"> Forward P/E</t>
  </si>
  <si>
    <t>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</si>
</sst>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4"/>
      <color theme="1"/>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StyleXfs count="2">
    <xf numFmtId="0" fontId="0" fillId="0" borderId="0"/>
    <xf numFmtId="9" fontId="8" fillId="0" borderId="0" applyFont="0" applyFill="0" applyBorder="0" applyAlignment="0" applyProtection="0"/>
  </cellStyleXfs>
  <cellXfs count="5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4" fontId="10" fillId="6" borderId="0" xfId="0" applyNumberFormat="1" applyFont="1" applyFill="1"/>
    <xf numFmtId="0" fontId="0" fillId="6" borderId="0" xfId="0" applyFill="1"/>
    <xf numFmtId="164" fontId="1" fillId="6" borderId="0" xfId="0" applyNumberFormat="1" applyFont="1" applyFill="1"/>
    <xf numFmtId="0" fontId="0" fillId="6" borderId="0" xfId="0" applyFill="1" applyAlignment="1">
      <alignment horizontal="left"/>
    </xf>
    <xf numFmtId="166" fontId="10" fillId="0" borderId="0" xfId="0" applyNumberFormat="1" applyFont="1"/>
    <xf numFmtId="0" fontId="1" fillId="8" borderId="0" xfId="0" applyFont="1" applyFill="1"/>
    <xf numFmtId="3" fontId="1" fillId="8" borderId="0" xfId="0" applyNumberFormat="1" applyFont="1" applyFill="1"/>
    <xf numFmtId="0" fontId="12" fillId="3" borderId="0" xfId="0" applyFont="1" applyFill="1" applyAlignment="1">
      <alignment horizontal="center" vertical="center" wrapText="1"/>
    </xf>
    <xf numFmtId="9" fontId="11" fillId="0" borderId="0" xfId="0" applyNumberFormat="1" applyFont="1" applyAlignment="1">
      <alignment horizontal="center"/>
    </xf>
    <xf numFmtId="2" fontId="11" fillId="0" borderId="0" xfId="0" applyNumberFormat="1" applyFont="1" applyAlignment="1">
      <alignment horizontal="center"/>
    </xf>
    <xf numFmtId="164" fontId="1" fillId="0" borderId="0" xfId="0" applyNumberFormat="1" applyFont="1" applyAlignment="1">
      <alignment horizontal="center"/>
    </xf>
    <xf numFmtId="0" fontId="11" fillId="6" borderId="0" xfId="0" applyFont="1" applyFill="1" applyAlignment="1">
      <alignment horizontal="left" vertical="center" wrapText="1"/>
    </xf>
    <xf numFmtId="164" fontId="11" fillId="6" borderId="0" xfId="0" applyNumberFormat="1" applyFont="1" applyFill="1"/>
    <xf numFmtId="37" fontId="11"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1" fillId="6" borderId="0" xfId="0" applyNumberFormat="1" applyFont="1" applyFill="1"/>
    <xf numFmtId="39" fontId="11" fillId="6"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2" fillId="4" borderId="0" xfId="0" applyNumberFormat="1" applyFont="1" applyFill="1"/>
    <xf numFmtId="167" fontId="1" fillId="6" borderId="0" xfId="0" applyNumberFormat="1" applyFont="1" applyFill="1"/>
    <xf numFmtId="0" fontId="12" fillId="6" borderId="0" xfId="0" applyFont="1" applyFill="1" applyAlignment="1">
      <alignment horizontal="right"/>
    </xf>
    <xf numFmtId="9" fontId="12" fillId="6" borderId="0" xfId="1" applyFont="1" applyFill="1" applyBorder="1"/>
    <xf numFmtId="0" fontId="1" fillId="0" borderId="0" xfId="0" applyFont="1" applyAlignment="1">
      <alignment indent="1"/>
    </xf>
    <xf numFmtId="10" fontId="17" fillId="0" borderId="0" xfId="1" applyNumberFormat="1" applyFont="1"/>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0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3388429752071E-2"/>
          <c:y val="0.14190108424945283"/>
          <c:w val="0.87981487603305786"/>
          <c:h val="0.678992729742648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numCache>
            </c:numRef>
          </c:val>
          <c:extLst>
            <c:ext xmlns:c16="http://schemas.microsoft.com/office/drawing/2014/chart" uri="{C3380CC4-5D6E-409C-BE32-E72D297353CC}">
              <c16:uniqueId val="{00000000-F8F1-BB4C-88BF-9B3C309416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765000000</c:v>
                </c:pt>
                <c:pt idx="1">
                  <c:v>2520000000</c:v>
                </c:pt>
                <c:pt idx="2">
                  <c:v>2879000000</c:v>
                </c:pt>
                <c:pt idx="3">
                  <c:v>2298000000</c:v>
                </c:pt>
                <c:pt idx="4">
                  <c:v>3930000000</c:v>
                </c:pt>
                <c:pt idx="5">
                  <c:v>3831000000</c:v>
                </c:pt>
                <c:pt idx="6">
                  <c:v>3527000000</c:v>
                </c:pt>
                <c:pt idx="7">
                  <c:v>2623000000</c:v>
                </c:pt>
                <c:pt idx="8">
                  <c:v>1159000000</c:v>
                </c:pt>
                <c:pt idx="9">
                  <c:v>586000000</c:v>
                </c:pt>
                <c:pt idx="10">
                  <c:v>1683000000</c:v>
                </c:pt>
                <c:pt idx="11">
                  <c:v>2628000000</c:v>
                </c:pt>
                <c:pt idx="12">
                  <c:v>2745000000</c:v>
                </c:pt>
                <c:pt idx="13">
                  <c:v>3691000000</c:v>
                </c:pt>
                <c:pt idx="14">
                  <c:v>4717000000</c:v>
                </c:pt>
                <c:pt idx="15">
                  <c:v>5539000000</c:v>
                </c:pt>
                <c:pt idx="16">
                  <c:v>5888000000</c:v>
                </c:pt>
                <c:pt idx="17">
                  <c:v>5443000000</c:v>
                </c:pt>
                <c:pt idx="18">
                  <c:v>5293000000</c:v>
                </c:pt>
                <c:pt idx="19">
                  <c:v>4981000000</c:v>
                </c:pt>
                <c:pt idx="20">
                  <c:v>5443000000</c:v>
                </c:pt>
                <c:pt idx="21">
                  <c:v>5526000000</c:v>
                </c:pt>
                <c:pt idx="22">
                  <c:v>6592000000</c:v>
                </c:pt>
                <c:pt idx="23">
                  <c:v>6492000000</c:v>
                </c:pt>
                <c:pt idx="24">
                  <c:v>8313000000</c:v>
                </c:pt>
                <c:pt idx="25">
                  <c:v>7188000000</c:v>
                </c:pt>
                <c:pt idx="26">
                  <c:v>7667000000</c:v>
                </c:pt>
                <c:pt idx="27">
                  <c:v>9083000000</c:v>
                </c:pt>
                <c:pt idx="28">
                  <c:v>10061000000</c:v>
                </c:pt>
                <c:pt idx="29">
                  <c:v>9483000000</c:v>
                </c:pt>
                <c:pt idx="30">
                  <c:v>8707000000</c:v>
                </c:pt>
              </c:numCache>
            </c:numRef>
          </c:val>
          <c:extLst>
            <c:ext xmlns:c16="http://schemas.microsoft.com/office/drawing/2014/chart" uri="{C3380CC4-5D6E-409C-BE32-E72D297353CC}">
              <c16:uniqueId val="{00000001-F8F1-BB4C-88BF-9B3C309416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numCache>
            </c:numRef>
          </c:val>
          <c:extLst>
            <c:ext xmlns:c16="http://schemas.microsoft.com/office/drawing/2014/chart" uri="{C3380CC4-5D6E-409C-BE32-E72D297353CC}">
              <c16:uniqueId val="{00000002-F8F1-BB4C-88BF-9B3C309416E6}"/>
            </c:ext>
          </c:extLst>
        </c:ser>
        <c:dLbls>
          <c:showLegendKey val="0"/>
          <c:showVal val="0"/>
          <c:showCatName val="0"/>
          <c:showSerName val="0"/>
          <c:showPercent val="0"/>
          <c:showBubbleSize val="0"/>
        </c:dLbls>
        <c:gapWidth val="100"/>
        <c:overlap val="-24"/>
        <c:axId val="670984735"/>
        <c:axId val="670069343"/>
      </c:barChart>
      <c:catAx>
        <c:axId val="67098473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0069343"/>
        <c:crosses val="autoZero"/>
        <c:auto val="1"/>
        <c:lblAlgn val="ctr"/>
        <c:lblOffset val="100"/>
        <c:noMultiLvlLbl val="0"/>
      </c:catAx>
      <c:valAx>
        <c:axId val="67006934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984735"/>
        <c:crosses val="autoZero"/>
        <c:crossBetween val="between"/>
      </c:valAx>
      <c:spPr>
        <a:noFill/>
        <a:ln>
          <a:noFill/>
        </a:ln>
        <a:effectLst/>
      </c:spPr>
    </c:plotArea>
    <c:legend>
      <c:legendPos val="b"/>
      <c:layout>
        <c:manualLayout>
          <c:xMode val="edge"/>
          <c:yMode val="edge"/>
          <c:x val="0.37491934665191645"/>
          <c:y val="0.90895046665492696"/>
          <c:w val="0.30305376456042166"/>
          <c:h val="6.5490427913763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108</xdr:row>
      <xdr:rowOff>25400</xdr:rowOff>
    </xdr:from>
    <xdr:to>
      <xdr:col>40</xdr:col>
      <xdr:colOff>15874</xdr:colOff>
      <xdr:row>125</xdr:row>
      <xdr:rowOff>31750</xdr:rowOff>
    </xdr:to>
    <xdr:graphicFrame macro="">
      <xdr:nvGraphicFramePr>
        <xdr:cNvPr id="2" name="Chart 1">
          <a:extLst>
            <a:ext uri="{FF2B5EF4-FFF2-40B4-BE49-F238E27FC236}">
              <a16:creationId xmlns:a16="http://schemas.microsoft.com/office/drawing/2014/main" id="{0987DF61-29BE-6164-AE1F-072A69B4C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373.67</v>
    <v>0.6694</v>
    <v>-1.26</v>
    <v>-2.7650000000000001E-3</v>
    <v>2.4900000000000002</v>
    <v>5.4790000000000004E-3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458.27</v>
    <v>Aerospace &amp; Defense</v>
    <v>Stock</v>
    <v>45065.999659247653</v>
    <v>0</v>
    <v>452.86</v>
    <v>115676300000</v>
    <v>LOCKHEED MARTIN CORPORATION</v>
    <v>LOCKHEED MARTIN CORPORATION</v>
    <v>457.03</v>
    <v>20.7621</v>
    <v>455.75</v>
    <v>454.49</v>
    <v>456.98</v>
    <v>254518900</v>
    <v>LMT</v>
    <v>LOCKHEED MARTIN CORPORATION (XNYS:LMT)</v>
    <v>804256</v>
    <v>1073518</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ASDAQGS:FTN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X2" activePane="bottomRight" state="frozen"/>
      <selection pane="topRight"/>
      <selection pane="bottomLeft"/>
      <selection pane="bottomRight" activeCell="AI20" sqref="AI20"/>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65500000000</v>
      </c>
      <c r="AH3" s="19">
        <v>67736000000</v>
      </c>
      <c r="AI3" s="19">
        <v>70487000000</v>
      </c>
      <c r="AJ3" s="19">
        <v>74364000000</v>
      </c>
      <c r="AK3" s="19">
        <v>77438000000</v>
      </c>
      <c r="AL3" s="27" t="s">
        <v>109</v>
      </c>
      <c r="AM3" s="27" t="s">
        <v>110</v>
      </c>
      <c r="AN3" s="27" t="s">
        <v>111</v>
      </c>
      <c r="AO3" s="27" t="s">
        <v>112</v>
      </c>
    </row>
    <row r="4" spans="1:41" ht="19" x14ac:dyDescent="0.25">
      <c r="A4" s="14" t="s">
        <v>94</v>
      </c>
      <c r="B4" s="1"/>
      <c r="C4" s="15">
        <f>(C3/B3)-1</f>
        <v>0.39719276356830946</v>
      </c>
      <c r="D4" s="15">
        <f>(D3/C3)-1</f>
        <v>2.2726257980979492E-2</v>
      </c>
      <c r="E4" s="15">
        <f>(E3/D3)-1</f>
        <v>-2.3138042434296402E-3</v>
      </c>
      <c r="F4" s="15">
        <f t="shared" ref="F4:V4" si="0">(F3/E3)-1</f>
        <v>0.17599439898481606</v>
      </c>
      <c r="G4" s="15">
        <f t="shared" si="0"/>
        <v>4.4427906976744147E-2</v>
      </c>
      <c r="H4" s="16">
        <f t="shared" si="0"/>
        <v>-6.4234564822401974E-2</v>
      </c>
      <c r="I4" s="16">
        <f t="shared" si="0"/>
        <v>-2.8021015761821366E-2</v>
      </c>
      <c r="J4" s="16">
        <f t="shared" si="0"/>
        <v>-7.8730904817860825E-3</v>
      </c>
      <c r="K4" s="16">
        <f t="shared" si="0"/>
        <v>-5.2864305736507577E-2</v>
      </c>
      <c r="L4" s="16">
        <f t="shared" si="0"/>
        <v>0.10787828261775734</v>
      </c>
      <c r="M4" s="16">
        <f t="shared" si="0"/>
        <v>0.19738129279855521</v>
      </c>
      <c r="N4" s="16">
        <f t="shared" si="0"/>
        <v>0.11632730015082959</v>
      </c>
      <c r="O4" s="16">
        <f t="shared" si="0"/>
        <v>4.7486348026797298E-2</v>
      </c>
      <c r="P4" s="16">
        <f t="shared" si="0"/>
        <v>6.4681697256335102E-2</v>
      </c>
      <c r="Q4" s="16">
        <f t="shared" si="0"/>
        <v>5.658758202927805E-2</v>
      </c>
      <c r="R4" s="16">
        <f t="shared" si="0"/>
        <v>2.075868329272379E-2</v>
      </c>
      <c r="S4" s="16">
        <f t="shared" si="0"/>
        <v>5.7522641641899241E-2</v>
      </c>
      <c r="T4" s="16">
        <f t="shared" si="0"/>
        <v>1.3587377459116201E-2</v>
      </c>
      <c r="U4" s="16">
        <f t="shared" si="0"/>
        <v>1.5195511211056001E-2</v>
      </c>
      <c r="V4" s="16">
        <f t="shared" si="0"/>
        <v>1.4688487924471527E-2</v>
      </c>
      <c r="W4" s="16">
        <f t="shared" ref="W4" si="1">(W3/V3)-1</f>
        <v>-3.865881056335041E-2</v>
      </c>
      <c r="X4" s="16">
        <f t="shared" ref="X4" si="2">(X3/W3)-1</f>
        <v>5.3353322456899388E-3</v>
      </c>
      <c r="Y4" s="16">
        <f t="shared" ref="Y4" si="3">(Y3/X3)-1</f>
        <v>1.1666666666666714E-2</v>
      </c>
      <c r="Z4" s="16">
        <f t="shared" ref="Z4" si="4">(Z3/Y3)-1</f>
        <v>2.4191450619960086E-2</v>
      </c>
      <c r="AA4" s="16">
        <f t="shared" ref="AA4" si="5">(AA3/Z3)-1</f>
        <v>8.0426684727395781E-2</v>
      </c>
      <c r="AB4" s="16">
        <f t="shared" ref="AB4" si="6">(AB3/AA3)-1</f>
        <v>5.3165648017552192E-2</v>
      </c>
      <c r="AC4" s="16">
        <f t="shared" ref="AC4" si="7">(AC3/AB3)-1</f>
        <v>0.11253301588482567</v>
      </c>
      <c r="AD4" s="16">
        <f t="shared" ref="AD4" si="8">(AD3/AC3)-1</f>
        <v>9.3392630241423191E-2</v>
      </c>
      <c r="AE4" s="16">
        <f t="shared" ref="AE4" si="9">(AE3/AD3)-1</f>
        <v>2.516896541178637E-2</v>
      </c>
      <c r="AF4" s="16">
        <f t="shared" ref="AF4:AK4" si="10">(AF3/AE3)-1</f>
        <v>-1.5810512499254248E-2</v>
      </c>
      <c r="AG4" s="16">
        <f t="shared" si="10"/>
        <v>-7.3351115421920188E-3</v>
      </c>
      <c r="AH4" s="16">
        <f t="shared" si="10"/>
        <v>3.4137404580152575E-2</v>
      </c>
      <c r="AI4" s="16">
        <f t="shared" si="10"/>
        <v>4.0613558521318094E-2</v>
      </c>
      <c r="AJ4" s="16">
        <f t="shared" si="10"/>
        <v>5.5003050207839799E-2</v>
      </c>
      <c r="AK4" s="16">
        <f t="shared" si="10"/>
        <v>4.1337206175031005E-2</v>
      </c>
      <c r="AL4" s="28">
        <f>(AF4+AE4+AD4)/3</f>
        <v>3.4250361051318436E-2</v>
      </c>
      <c r="AM4" s="28">
        <f>(AF20+AE20+AD20)/3</f>
        <v>-1.0535508636902891E-2</v>
      </c>
      <c r="AN4" s="28">
        <f>(AF29+AE29+AD29)/3</f>
        <v>-2.3779574072930448E-2</v>
      </c>
      <c r="AO4" s="28">
        <f>(AF105+AE105+AD105)/3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L6" s="27" t="s">
        <v>113</v>
      </c>
      <c r="AM6" s="27" t="s">
        <v>114</v>
      </c>
      <c r="AN6" s="27" t="s">
        <v>115</v>
      </c>
      <c r="AO6" s="27" t="s">
        <v>116</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L7" s="28">
        <f>AF7</f>
        <v>0.12559999999999999</v>
      </c>
      <c r="AM7" s="28">
        <f>AF21</f>
        <v>0.13200000000000001</v>
      </c>
      <c r="AN7" s="28">
        <f>AF30</f>
        <v>8.6900000000000005E-2</v>
      </c>
      <c r="AO7" s="28">
        <f>AF106/AF3</f>
        <v>9.2931619786614933E-2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95</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27" t="s">
        <v>96</v>
      </c>
      <c r="AM9" s="27" t="s">
        <v>97</v>
      </c>
      <c r="AN9" s="27" t="s">
        <v>98</v>
      </c>
      <c r="AO9" s="27" t="s">
        <v>99</v>
      </c>
    </row>
    <row r="10" spans="1:4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L10" s="28">
        <f>AF9</f>
        <v>0</v>
      </c>
      <c r="AM10" s="28">
        <f>AF13</f>
        <v>0</v>
      </c>
      <c r="AN10" s="28">
        <f>AF80</f>
        <v>3.6069350145489817E-3</v>
      </c>
      <c r="AO10" s="28">
        <f>AF89</f>
        <v>0</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27" t="s">
        <v>117</v>
      </c>
      <c r="AM12" s="27" t="s">
        <v>118</v>
      </c>
      <c r="AN12" s="27" t="s">
        <v>119</v>
      </c>
      <c r="AO12" s="27" t="s">
        <v>120</v>
      </c>
    </row>
    <row r="13" spans="1:41" ht="19" x14ac:dyDescent="0.25">
      <c r="A13" s="14" t="s">
        <v>100</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28">
        <f>AF28/AF72</f>
        <v>0.6186056550830995</v>
      </c>
      <c r="AM13" s="28">
        <f>AF28/AF54</f>
        <v>0.1083963691376702</v>
      </c>
      <c r="AN13" s="28">
        <f>AF22/(AF72+AF56+AF61)</f>
        <v>0.33804413848957277</v>
      </c>
      <c r="AO13" s="29">
        <f>AF67/AF72</f>
        <v>4.7068853874379455</v>
      </c>
    </row>
    <row r="14" spans="1:41" ht="19" x14ac:dyDescent="0.25">
      <c r="A14" s="5" t="s">
        <v>9</v>
      </c>
      <c r="B14" s="1" t="s">
        <v>92</v>
      </c>
      <c r="C14" s="1" t="s">
        <v>92</v>
      </c>
      <c r="D14" s="1" t="s">
        <v>92</v>
      </c>
      <c r="E14" s="1" t="s">
        <v>92</v>
      </c>
      <c r="F14" s="1" t="s">
        <v>92</v>
      </c>
      <c r="G14" s="1" t="s">
        <v>92</v>
      </c>
      <c r="H14" s="1" t="s">
        <v>92</v>
      </c>
      <c r="I14" s="1" t="s">
        <v>92</v>
      </c>
      <c r="J14" s="1">
        <v>968000000</v>
      </c>
      <c r="K14" s="1" t="s">
        <v>92</v>
      </c>
      <c r="L14" s="1" t="s">
        <v>92</v>
      </c>
      <c r="M14" s="1" t="s">
        <v>92</v>
      </c>
      <c r="N14" s="1" t="s">
        <v>92</v>
      </c>
      <c r="O14" s="1" t="s">
        <v>92</v>
      </c>
      <c r="P14" s="1" t="s">
        <v>92</v>
      </c>
      <c r="Q14" s="1" t="s">
        <v>92</v>
      </c>
      <c r="R14" s="1" t="s">
        <v>92</v>
      </c>
      <c r="S14" s="1" t="s">
        <v>92</v>
      </c>
      <c r="T14" s="1" t="s">
        <v>92</v>
      </c>
      <c r="U14" s="1" t="s">
        <v>92</v>
      </c>
      <c r="V14" s="1">
        <v>-238000000</v>
      </c>
      <c r="W14" s="1">
        <v>-318000000</v>
      </c>
      <c r="X14" s="1">
        <v>-337000000</v>
      </c>
      <c r="Y14" s="1">
        <v>-236000000</v>
      </c>
      <c r="Z14" s="1">
        <v>-487000000</v>
      </c>
      <c r="AA14" s="1">
        <v>-373000000</v>
      </c>
      <c r="AB14" s="1">
        <v>-60000000</v>
      </c>
      <c r="AC14" s="1">
        <v>-178000000</v>
      </c>
      <c r="AD14" s="1">
        <v>10000000</v>
      </c>
      <c r="AE14" s="1">
        <v>-62000000</v>
      </c>
      <c r="AF14" s="1" t="s">
        <v>92</v>
      </c>
    </row>
    <row r="15" spans="1:41" ht="20" x14ac:dyDescent="0.25">
      <c r="A15" s="5" t="s">
        <v>10</v>
      </c>
      <c r="B15" s="1" t="s">
        <v>92</v>
      </c>
      <c r="C15" s="1" t="s">
        <v>92</v>
      </c>
      <c r="D15" s="1" t="s">
        <v>92</v>
      </c>
      <c r="E15" s="1" t="s">
        <v>92</v>
      </c>
      <c r="F15" s="1" t="s">
        <v>92</v>
      </c>
      <c r="G15" s="1" t="s">
        <v>92</v>
      </c>
      <c r="H15" s="1" t="s">
        <v>92</v>
      </c>
      <c r="I15" s="1" t="s">
        <v>92</v>
      </c>
      <c r="J15" s="1">
        <v>968000000</v>
      </c>
      <c r="K15" s="1" t="s">
        <v>92</v>
      </c>
      <c r="L15" s="1" t="s">
        <v>92</v>
      </c>
      <c r="M15" s="1" t="s">
        <v>92</v>
      </c>
      <c r="N15" s="1" t="s">
        <v>92</v>
      </c>
      <c r="O15" s="1" t="s">
        <v>92</v>
      </c>
      <c r="P15" s="1" t="s">
        <v>92</v>
      </c>
      <c r="Q15" s="1" t="s">
        <v>92</v>
      </c>
      <c r="R15" s="1" t="s">
        <v>92</v>
      </c>
      <c r="S15" s="1" t="s">
        <v>92</v>
      </c>
      <c r="T15" s="1" t="s">
        <v>92</v>
      </c>
      <c r="U15" s="1" t="s">
        <v>92</v>
      </c>
      <c r="V15" s="1">
        <v>-238000000</v>
      </c>
      <c r="W15" s="1">
        <v>-318000000</v>
      </c>
      <c r="X15" s="1">
        <v>-337000000</v>
      </c>
      <c r="Y15" s="1">
        <v>-236000000</v>
      </c>
      <c r="Z15" s="1">
        <v>-487000000</v>
      </c>
      <c r="AA15" s="1">
        <v>-373000000</v>
      </c>
      <c r="AB15" s="1">
        <v>-60000000</v>
      </c>
      <c r="AC15" s="1">
        <v>-178000000</v>
      </c>
      <c r="AD15" s="1">
        <v>10000000</v>
      </c>
      <c r="AE15" s="1">
        <v>-62000000</v>
      </c>
      <c r="AF15" s="1">
        <v>-74000000</v>
      </c>
      <c r="AL15" s="27" t="s">
        <v>121</v>
      </c>
      <c r="AM15" s="27" t="s">
        <v>122</v>
      </c>
      <c r="AN15" s="27" t="s">
        <v>123</v>
      </c>
      <c r="AO15" s="27" t="s">
        <v>124</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28">
        <f>(AF35+AE35+AD35+AC35+AB35)/5</f>
        <v>-9.2423078964431332E-3</v>
      </c>
      <c r="AM16" s="29">
        <f>AN101/AF3</f>
        <v>1.7530962051406402</v>
      </c>
      <c r="AN16" s="29">
        <f>AN101/AF28</f>
        <v>20.180792044661548</v>
      </c>
      <c r="AO16" s="29">
        <f>AN101/AF106</f>
        <v>18.864367253750814</v>
      </c>
    </row>
    <row r="17" spans="1:40" ht="19" x14ac:dyDescent="0.25">
      <c r="A17" s="5" t="s">
        <v>12</v>
      </c>
      <c r="B17" s="1">
        <v>177000000</v>
      </c>
      <c r="C17" s="1">
        <v>278000000</v>
      </c>
      <c r="D17" s="1">
        <v>304000000</v>
      </c>
      <c r="E17" s="1">
        <v>288000000</v>
      </c>
      <c r="F17" s="1">
        <v>700000000</v>
      </c>
      <c r="G17" s="1">
        <v>842000000</v>
      </c>
      <c r="H17" s="1">
        <v>861000000</v>
      </c>
      <c r="I17" s="1">
        <v>809000000</v>
      </c>
      <c r="J17" s="1" t="s">
        <v>92</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0"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27" t="s">
        <v>159</v>
      </c>
      <c r="AM18" s="27" t="s">
        <v>160</v>
      </c>
      <c r="AN18" s="27" t="s">
        <v>161</v>
      </c>
    </row>
    <row r="19" spans="1:40"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L19" s="30">
        <f>AF40-AF56-AF61</f>
        <v>-12882000000</v>
      </c>
      <c r="AM19" s="29">
        <f>AN101/AG3</f>
        <v>1.7660503816793893</v>
      </c>
      <c r="AN19" s="29">
        <f>AH116/AG32</f>
        <v>16.990280373831776</v>
      </c>
    </row>
    <row r="20" spans="1:40" ht="19" customHeight="1" x14ac:dyDescent="0.25">
      <c r="A20" s="14" t="s">
        <v>101</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row>
    <row r="21" spans="1:40" ht="19"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L21" s="25" t="s">
        <v>162</v>
      </c>
      <c r="AM21" s="26" cm="1">
        <f t="array" ref="AM21">_FV(A1,"Employees")</f>
        <v>116000</v>
      </c>
    </row>
    <row r="22" spans="1:40"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v>7300000000</v>
      </c>
    </row>
    <row r="23" spans="1:40"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0"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0"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0"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0"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0" ht="19" x14ac:dyDescent="0.25">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row>
    <row r="29" spans="1:40" ht="20" customHeight="1" x14ac:dyDescent="0.25">
      <c r="A29" s="14" t="s">
        <v>102</v>
      </c>
      <c r="B29" s="1"/>
      <c r="C29" s="15">
        <f>(C28/B28)-1</f>
        <v>-3.2963988919667591</v>
      </c>
      <c r="D29" s="15">
        <f>(D28/C28)-1</f>
        <v>0.22798552472858868</v>
      </c>
      <c r="E29" s="15">
        <f>(E28/D28)-1</f>
        <v>-0.33005893909626716</v>
      </c>
      <c r="F29" s="15">
        <f t="shared" ref="F29:Q29" si="29">(F28/E28)-1</f>
        <v>0.97507331378299122</v>
      </c>
      <c r="G29" s="15">
        <f t="shared" si="29"/>
        <v>-3.4892353377876772E-2</v>
      </c>
      <c r="H29" s="15">
        <f t="shared" si="29"/>
        <v>-0.22999999999999998</v>
      </c>
      <c r="I29" s="15">
        <f t="shared" si="29"/>
        <v>-0.61838161838161843</v>
      </c>
      <c r="J29" s="15">
        <f t="shared" si="29"/>
        <v>-2.3586387434554972</v>
      </c>
      <c r="K29" s="15">
        <f t="shared" si="29"/>
        <v>1.0154142581888248</v>
      </c>
      <c r="L29" s="15">
        <f t="shared" si="29"/>
        <v>-1.4780114722753346</v>
      </c>
      <c r="M29" s="15">
        <f t="shared" si="29"/>
        <v>1.1059999999999999</v>
      </c>
      <c r="N29" s="15">
        <f t="shared" si="29"/>
        <v>0.20227920227920237</v>
      </c>
      <c r="O29" s="15">
        <f t="shared" si="29"/>
        <v>0.44154818325434442</v>
      </c>
      <c r="P29" s="15">
        <f t="shared" si="29"/>
        <v>0.38575342465753426</v>
      </c>
      <c r="Q29" s="15">
        <f t="shared" si="29"/>
        <v>0.19928825622775803</v>
      </c>
      <c r="R29" s="15">
        <f t="shared" ref="R29" si="30">(R28/Q28)-1</f>
        <v>6.0666007253544318E-2</v>
      </c>
      <c r="S29" s="15">
        <f t="shared" ref="S29" si="31">(S28/R28)-1</f>
        <v>-5.9993783027665559E-2</v>
      </c>
      <c r="T29" s="15">
        <f t="shared" ref="T29" si="32">(T28/S28)-1</f>
        <v>-3.240740740740744E-2</v>
      </c>
      <c r="U29" s="15">
        <f t="shared" ref="U29" si="33">(U28/T28)-1</f>
        <v>-9.2617908407382044E-2</v>
      </c>
      <c r="V29" s="15">
        <f t="shared" ref="V29" si="34">(V28/U28)-1</f>
        <v>3.3898305084745672E-2</v>
      </c>
      <c r="W29" s="15">
        <f t="shared" ref="W29" si="35">(W28/V28)-1</f>
        <v>8.5974499089253253E-2</v>
      </c>
      <c r="X29" s="15">
        <f t="shared" ref="X29" si="36">(X28/W28)-1</f>
        <v>0.21234485072123443</v>
      </c>
      <c r="Y29" s="15">
        <f t="shared" ref="Y29" si="37">(Y28/X28)-1</f>
        <v>-2.4903154399557037E-3</v>
      </c>
      <c r="Z29" s="15">
        <f t="shared" ref="Z29" si="38">(Z28/Y28)-1</f>
        <v>0.47073509015256598</v>
      </c>
      <c r="AA29" s="15">
        <f t="shared" ref="AA29" si="39">(AA28/Z28)-1</f>
        <v>-0.62240663900414939</v>
      </c>
      <c r="AB29" s="15">
        <f t="shared" ref="AB29" si="40">(AB28/AA28)-1</f>
        <v>1.5204795204795203</v>
      </c>
      <c r="AC29" s="15">
        <f t="shared" ref="AC29" si="41">(AC28/AB28)-1</f>
        <v>0.23464130003963546</v>
      </c>
      <c r="AD29" s="15">
        <f t="shared" ref="AD29" si="42">(AD28/AC28)-1</f>
        <v>9.6789727126805669E-2</v>
      </c>
      <c r="AE29" s="15">
        <f t="shared" ref="AE29" si="43">(AE28/AD28)-1</f>
        <v>-7.5808576028098984E-2</v>
      </c>
      <c r="AF29" s="15">
        <f t="shared" ref="AF29" si="44">(AF28/AE28)-1</f>
        <v>-9.2319873317498025E-2</v>
      </c>
    </row>
    <row r="30" spans="1:40"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row>
    <row r="31" spans="1:40"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row>
    <row r="32" spans="1:40"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4">
        <v>26.75</v>
      </c>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103</v>
      </c>
      <c r="B35" s="1"/>
      <c r="C35" s="17">
        <f>(C34-B34)/B34</f>
        <v>0.12748597654258031</v>
      </c>
      <c r="D35" s="17">
        <f t="shared" ref="D35:Q35" si="45">(D34-C34)/C34</f>
        <v>-1.2663952962460425E-2</v>
      </c>
      <c r="E35" s="17">
        <f t="shared" si="45"/>
        <v>2.2446174988547871E-2</v>
      </c>
      <c r="F35" s="17">
        <f t="shared" si="45"/>
        <v>-8.960573476702509E-4</v>
      </c>
      <c r="G35" s="17">
        <f t="shared" si="45"/>
        <v>-4.2600896860986545E-2</v>
      </c>
      <c r="H35" s="17">
        <f t="shared" si="45"/>
        <v>-0.10749414519906324</v>
      </c>
      <c r="I35" s="17">
        <f t="shared" si="45"/>
        <v>7.8719496195224347E-3</v>
      </c>
      <c r="J35" s="17">
        <f t="shared" si="45"/>
        <v>4.7450093725592293E-2</v>
      </c>
      <c r="K35" s="17">
        <f t="shared" si="45"/>
        <v>7.5000001056358387E-2</v>
      </c>
      <c r="L35" s="17">
        <f t="shared" si="45"/>
        <v>4.5086705202312137E-2</v>
      </c>
      <c r="M35" s="17">
        <f t="shared" si="45"/>
        <v>-4.4247787610619468E-3</v>
      </c>
      <c r="N35" s="17">
        <f t="shared" si="45"/>
        <v>-6.4444444444444445E-3</v>
      </c>
      <c r="O35" s="17">
        <f t="shared" si="45"/>
        <v>-3.1312905390293E-3</v>
      </c>
      <c r="P35" s="17">
        <f t="shared" si="45"/>
        <v>-2.0866053399147409E-2</v>
      </c>
      <c r="Q35" s="17">
        <f t="shared" si="45"/>
        <v>-2.1310724106324473E-2</v>
      </c>
      <c r="R35" s="17">
        <f t="shared" ref="R35" si="46">(R34-Q34)/Q34</f>
        <v>-4.0739873565909621E-2</v>
      </c>
      <c r="S35" s="17">
        <f t="shared" ref="S35" si="47">(S34-R34)/R34</f>
        <v>-5.0768855259946302E-2</v>
      </c>
      <c r="T35" s="17">
        <f t="shared" ref="T35" si="48">(T34-S34)/S34</f>
        <v>-5.2969915145281564E-2</v>
      </c>
      <c r="U35" s="17">
        <f t="shared" ref="U35" si="49">(U34-T34)/T34</f>
        <v>-7.7111050773825685E-2</v>
      </c>
      <c r="V35" s="17">
        <f t="shared" ref="V35" si="50">(V34-U34)/U34</f>
        <v>-3.3833480435422184E-2</v>
      </c>
      <c r="W35" s="17">
        <f t="shared" ref="W35" si="51">(W34-V34)/V34</f>
        <v>-5.7856272838002435E-3</v>
      </c>
      <c r="X35" s="17">
        <f t="shared" ref="X35" si="52">(X34-W34)/W34</f>
        <v>-1.2557427258805513E-2</v>
      </c>
      <c r="Y35" s="17">
        <f t="shared" ref="Y35" si="53">(Y34-X34)/X34</f>
        <v>-2.3883374689826303E-2</v>
      </c>
      <c r="Z35" s="17">
        <f t="shared" ref="Z35" si="54">(Z34-Y34)/Y34</f>
        <v>-3.6860502065459169E-2</v>
      </c>
      <c r="AA35" s="17">
        <f t="shared" ref="AA35" si="55">(AA34-Z34)/Z34</f>
        <v>-4.1240514681623229E-2</v>
      </c>
      <c r="AB35" s="17">
        <f t="shared" ref="AB35" si="56">(AB34-AA34)/AA34</f>
        <v>-1.307639366827254E-2</v>
      </c>
      <c r="AC35" s="17">
        <f t="shared" ref="AC35" si="57">(AC34-AB34)/AB34</f>
        <v>-1.0460251046025104E-2</v>
      </c>
      <c r="AD35" s="17">
        <f t="shared" ref="AD35" si="58">(AD34-AC34)/AC34</f>
        <v>-9.161381254404511E-3</v>
      </c>
      <c r="AE35" s="17">
        <f t="shared" ref="AE35" si="59">(AE34-AD34)/AD34</f>
        <v>-1.3513513513513514E-2</v>
      </c>
      <c r="AF35" s="17">
        <f t="shared" ref="AF35" si="60">(AF34-AE34)/AE34</f>
        <v>0</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v>653000000</v>
      </c>
      <c r="F38" s="1" t="s">
        <v>92</v>
      </c>
      <c r="G38" s="1" t="s">
        <v>92</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92</v>
      </c>
      <c r="C39" s="1" t="s">
        <v>92</v>
      </c>
      <c r="D39" s="1" t="s">
        <v>92</v>
      </c>
      <c r="E39" s="1" t="s">
        <v>92</v>
      </c>
      <c r="F39" s="1" t="s">
        <v>92</v>
      </c>
      <c r="G39" s="1" t="s">
        <v>92</v>
      </c>
      <c r="H39" s="1" t="s">
        <v>92</v>
      </c>
      <c r="I39" s="1" t="s">
        <v>92</v>
      </c>
      <c r="J39" s="1" t="s">
        <v>92</v>
      </c>
      <c r="K39" s="1" t="s">
        <v>92</v>
      </c>
      <c r="L39" s="1" t="s">
        <v>92</v>
      </c>
      <c r="M39" s="1">
        <v>240000000</v>
      </c>
      <c r="N39" s="1">
        <v>396000000</v>
      </c>
      <c r="O39" s="1">
        <v>429000000</v>
      </c>
      <c r="P39" s="1">
        <v>381000000</v>
      </c>
      <c r="Q39" s="1">
        <v>333000000</v>
      </c>
      <c r="R39" s="1">
        <v>61000000</v>
      </c>
      <c r="S39" s="1" t="s">
        <v>92</v>
      </c>
      <c r="T39" s="1">
        <v>516000000</v>
      </c>
      <c r="U39" s="1">
        <v>3000000</v>
      </c>
      <c r="V39" s="1" t="s">
        <v>92</v>
      </c>
      <c r="W39" s="1" t="s">
        <v>92</v>
      </c>
      <c r="X39" s="1" t="s">
        <v>92</v>
      </c>
      <c r="Y39" s="1" t="s">
        <v>92</v>
      </c>
      <c r="Z39" s="1" t="s">
        <v>92</v>
      </c>
      <c r="AA39" s="1" t="s">
        <v>92</v>
      </c>
      <c r="AB39" s="1" t="s">
        <v>92</v>
      </c>
      <c r="AC39" s="1" t="s">
        <v>92</v>
      </c>
      <c r="AD39" s="1" t="s">
        <v>92</v>
      </c>
      <c r="AE39" s="1" t="s">
        <v>92</v>
      </c>
      <c r="AF39" s="1" t="s">
        <v>92</v>
      </c>
    </row>
    <row r="40" spans="1:32" ht="19" x14ac:dyDescent="0.25">
      <c r="A40" s="5" t="s">
        <v>32</v>
      </c>
      <c r="B40" s="1" t="s">
        <v>92</v>
      </c>
      <c r="C40" s="1" t="s">
        <v>92</v>
      </c>
      <c r="D40" s="1" t="s">
        <v>92</v>
      </c>
      <c r="E40" s="1">
        <v>653000000</v>
      </c>
      <c r="F40" s="1" t="s">
        <v>92</v>
      </c>
      <c r="G40" s="1" t="s">
        <v>92</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92</v>
      </c>
      <c r="C41" s="1" t="s">
        <v>92</v>
      </c>
      <c r="D41" s="1" t="s">
        <v>92</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92</v>
      </c>
      <c r="C42" s="1" t="s">
        <v>92</v>
      </c>
      <c r="D42" s="1" t="s">
        <v>92</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92</v>
      </c>
      <c r="C43" s="1" t="s">
        <v>92</v>
      </c>
      <c r="D43" s="1" t="s">
        <v>92</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92</v>
      </c>
      <c r="C44" s="10" t="s">
        <v>92</v>
      </c>
      <c r="D44" s="10" t="s">
        <v>92</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92</v>
      </c>
      <c r="C45" s="1" t="s">
        <v>92</v>
      </c>
      <c r="D45" s="1" t="s">
        <v>92</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92</v>
      </c>
      <c r="C46" s="1" t="s">
        <v>92</v>
      </c>
      <c r="D46" s="1" t="s">
        <v>92</v>
      </c>
      <c r="E46" s="1">
        <v>2817000000</v>
      </c>
      <c r="F46" s="1">
        <v>10394000000</v>
      </c>
      <c r="G46" s="1">
        <v>9856000000</v>
      </c>
      <c r="H46" s="1">
        <v>9521000000</v>
      </c>
      <c r="I46" s="1">
        <v>9162000000</v>
      </c>
      <c r="J46" s="1" t="s">
        <v>92</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92</v>
      </c>
      <c r="C47" s="1" t="s">
        <v>92</v>
      </c>
      <c r="D47" s="1" t="s">
        <v>92</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92</v>
      </c>
      <c r="V47" s="1" t="s">
        <v>92</v>
      </c>
      <c r="W47" s="1" t="s">
        <v>92</v>
      </c>
      <c r="X47" s="1" t="s">
        <v>92</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92</v>
      </c>
      <c r="C48" s="1" t="s">
        <v>92</v>
      </c>
      <c r="D48" s="1" t="s">
        <v>92</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92</v>
      </c>
      <c r="C49" s="1" t="s">
        <v>92</v>
      </c>
      <c r="D49" s="1" t="s">
        <v>92</v>
      </c>
      <c r="E49" s="1" t="s">
        <v>92</v>
      </c>
      <c r="F49" s="1" t="s">
        <v>92</v>
      </c>
      <c r="G49" s="1" t="s">
        <v>92</v>
      </c>
      <c r="H49" s="1" t="s">
        <v>92</v>
      </c>
      <c r="I49" s="1">
        <v>2210000000</v>
      </c>
      <c r="J49" s="1" t="s">
        <v>92</v>
      </c>
      <c r="K49" s="1" t="s">
        <v>92</v>
      </c>
      <c r="L49" s="1">
        <v>1009000000</v>
      </c>
      <c r="M49" s="1">
        <v>1060000000</v>
      </c>
      <c r="N49" s="1">
        <v>812000000</v>
      </c>
      <c r="O49" s="1">
        <v>196000000</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92</v>
      </c>
      <c r="C51" s="1" t="s">
        <v>92</v>
      </c>
      <c r="D51" s="1" t="s">
        <v>92</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92</v>
      </c>
      <c r="C52" s="1" t="s">
        <v>92</v>
      </c>
      <c r="D52" s="1" t="s">
        <v>92</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19" x14ac:dyDescent="0.25">
      <c r="A54" s="7" t="s">
        <v>46</v>
      </c>
      <c r="B54" s="11" t="s">
        <v>92</v>
      </c>
      <c r="C54" s="11" t="s">
        <v>92</v>
      </c>
      <c r="D54" s="11" t="s">
        <v>92</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92</v>
      </c>
      <c r="C55" s="1" t="s">
        <v>92</v>
      </c>
      <c r="D55" s="1" t="s">
        <v>92</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92</v>
      </c>
      <c r="C56" s="1" t="s">
        <v>92</v>
      </c>
      <c r="D56" s="1" t="s">
        <v>92</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92</v>
      </c>
      <c r="T56" s="1" t="s">
        <v>92</v>
      </c>
      <c r="U56" s="1" t="s">
        <v>92</v>
      </c>
      <c r="V56" s="1">
        <v>150000000</v>
      </c>
      <c r="W56" s="1" t="s">
        <v>92</v>
      </c>
      <c r="X56" s="1" t="s">
        <v>92</v>
      </c>
      <c r="Y56" s="1">
        <v>956000000</v>
      </c>
      <c r="Z56" s="1" t="s">
        <v>92</v>
      </c>
      <c r="AA56" s="1">
        <v>750000000</v>
      </c>
      <c r="AB56" s="1">
        <v>1500000000</v>
      </c>
      <c r="AC56" s="1">
        <v>1250000000</v>
      </c>
      <c r="AD56" s="1">
        <v>500000000</v>
      </c>
      <c r="AE56" s="1">
        <v>6000000</v>
      </c>
      <c r="AF56" s="1">
        <v>0</v>
      </c>
    </row>
    <row r="57" spans="1:32" ht="19" x14ac:dyDescent="0.25">
      <c r="A57" s="5" t="s">
        <v>49</v>
      </c>
      <c r="B57" s="1" t="s">
        <v>92</v>
      </c>
      <c r="C57" s="1" t="s">
        <v>92</v>
      </c>
      <c r="D57" s="1" t="s">
        <v>92</v>
      </c>
      <c r="E57" s="1" t="s">
        <v>92</v>
      </c>
      <c r="F57" s="1" t="s">
        <v>92</v>
      </c>
      <c r="G57" s="1" t="s">
        <v>92</v>
      </c>
      <c r="H57" s="1" t="s">
        <v>92</v>
      </c>
      <c r="I57" s="1" t="s">
        <v>92</v>
      </c>
      <c r="J57" s="1" t="s">
        <v>92</v>
      </c>
      <c r="K57" s="1" t="s">
        <v>92</v>
      </c>
      <c r="L57" s="1">
        <v>107000000</v>
      </c>
      <c r="M57" s="1">
        <v>91000000</v>
      </c>
      <c r="N57" s="1" t="s">
        <v>92</v>
      </c>
      <c r="O57" s="1" t="s">
        <v>92</v>
      </c>
      <c r="P57" s="1" t="s">
        <v>92</v>
      </c>
      <c r="Q57" s="1" t="s">
        <v>92</v>
      </c>
      <c r="R57" s="1" t="s">
        <v>92</v>
      </c>
      <c r="S57" s="1" t="s">
        <v>92</v>
      </c>
      <c r="T57" s="1" t="s">
        <v>92</v>
      </c>
      <c r="U57" s="1" t="s">
        <v>92</v>
      </c>
      <c r="V57" s="1">
        <v>1649000000</v>
      </c>
      <c r="W57" s="1">
        <v>1809000000</v>
      </c>
      <c r="X57" s="1">
        <v>1826000000</v>
      </c>
      <c r="Y57" s="1">
        <v>1916000000</v>
      </c>
      <c r="Z57" s="1">
        <v>1764000000</v>
      </c>
      <c r="AA57" s="1">
        <v>1785000000</v>
      </c>
      <c r="AB57" s="1">
        <v>2122000000</v>
      </c>
      <c r="AC57" s="1">
        <v>2466000000</v>
      </c>
      <c r="AD57" s="1">
        <v>3163000000</v>
      </c>
      <c r="AE57" s="1">
        <v>3108000000</v>
      </c>
      <c r="AF57" s="1" t="s">
        <v>92</v>
      </c>
    </row>
    <row r="58" spans="1:32" ht="19" x14ac:dyDescent="0.25">
      <c r="A58" s="5" t="s">
        <v>50</v>
      </c>
      <c r="B58" s="1" t="s">
        <v>92</v>
      </c>
      <c r="C58" s="1" t="s">
        <v>92</v>
      </c>
      <c r="D58" s="1" t="s">
        <v>92</v>
      </c>
      <c r="E58" s="1">
        <v>1570000000</v>
      </c>
      <c r="F58" s="1">
        <v>2600000000</v>
      </c>
      <c r="G58" s="1">
        <v>3644000000</v>
      </c>
      <c r="H58" s="1">
        <v>4012000000</v>
      </c>
      <c r="I58" s="1">
        <v>4655000000</v>
      </c>
      <c r="J58" s="1" t="s">
        <v>92</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92</v>
      </c>
    </row>
    <row r="59" spans="1:32" ht="19" x14ac:dyDescent="0.25">
      <c r="A59" s="5" t="s">
        <v>51</v>
      </c>
      <c r="B59" s="1" t="s">
        <v>92</v>
      </c>
      <c r="C59" s="1" t="s">
        <v>92</v>
      </c>
      <c r="D59" s="1" t="s">
        <v>92</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92</v>
      </c>
      <c r="C60" s="10" t="s">
        <v>92</v>
      </c>
      <c r="D60" s="10" t="s">
        <v>92</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92</v>
      </c>
      <c r="C61" s="1" t="s">
        <v>92</v>
      </c>
      <c r="D61" s="1" t="s">
        <v>92</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v>736000000</v>
      </c>
      <c r="K63" s="1">
        <v>992000000</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t="s">
        <v>92</v>
      </c>
      <c r="AA63" s="1" t="s">
        <v>92</v>
      </c>
      <c r="AB63" s="1" t="s">
        <v>92</v>
      </c>
      <c r="AC63" s="1" t="s">
        <v>92</v>
      </c>
      <c r="AD63" s="1" t="s">
        <v>92</v>
      </c>
      <c r="AE63" s="1" t="s">
        <v>92</v>
      </c>
      <c r="AF63" s="1" t="s">
        <v>92</v>
      </c>
    </row>
    <row r="64" spans="1:32" ht="19" x14ac:dyDescent="0.25">
      <c r="A64" s="5" t="s">
        <v>55</v>
      </c>
      <c r="B64" s="1" t="s">
        <v>92</v>
      </c>
      <c r="C64" s="1" t="s">
        <v>92</v>
      </c>
      <c r="D64" s="1" t="s">
        <v>92</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92</v>
      </c>
      <c r="C65" s="1" t="s">
        <v>92</v>
      </c>
      <c r="D65" s="1" t="s">
        <v>92</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92</v>
      </c>
      <c r="C68" s="1" t="s">
        <v>92</v>
      </c>
      <c r="D68" s="1" t="s">
        <v>92</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92</v>
      </c>
      <c r="C69" s="1" t="s">
        <v>92</v>
      </c>
      <c r="D69" s="1" t="s">
        <v>92</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92</v>
      </c>
      <c r="C70" s="1" t="s">
        <v>92</v>
      </c>
      <c r="D70" s="1" t="s">
        <v>92</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92</v>
      </c>
      <c r="C71" s="1" t="s">
        <v>92</v>
      </c>
      <c r="D71" s="1" t="s">
        <v>92</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92</v>
      </c>
      <c r="R71" s="1" t="s">
        <v>92</v>
      </c>
      <c r="S71" s="1" t="s">
        <v>92</v>
      </c>
      <c r="T71" s="1" t="s">
        <v>92</v>
      </c>
      <c r="U71" s="1" t="s">
        <v>92</v>
      </c>
      <c r="V71" s="1" t="s">
        <v>92</v>
      </c>
      <c r="W71" s="1" t="s">
        <v>92</v>
      </c>
      <c r="X71" s="1" t="s">
        <v>92</v>
      </c>
      <c r="Y71" s="1" t="s">
        <v>92</v>
      </c>
      <c r="Z71" s="1" t="s">
        <v>92</v>
      </c>
      <c r="AA71" s="1" t="s">
        <v>92</v>
      </c>
      <c r="AB71" s="1" t="s">
        <v>92</v>
      </c>
      <c r="AC71" s="1" t="s">
        <v>92</v>
      </c>
      <c r="AD71" s="1">
        <v>221000000</v>
      </c>
      <c r="AE71" s="1">
        <v>94000000</v>
      </c>
      <c r="AF71" s="1">
        <v>92000000</v>
      </c>
    </row>
    <row r="72" spans="1:32" ht="19" x14ac:dyDescent="0.25">
      <c r="A72" s="6" t="s">
        <v>63</v>
      </c>
      <c r="B72" s="10" t="s">
        <v>92</v>
      </c>
      <c r="C72" s="10" t="s">
        <v>92</v>
      </c>
      <c r="D72" s="10" t="s">
        <v>92</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92</v>
      </c>
      <c r="C73" s="11" t="s">
        <v>92</v>
      </c>
      <c r="D73" s="11" t="s">
        <v>92</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t="s">
        <v>92</v>
      </c>
      <c r="E76" s="1" t="s">
        <v>92</v>
      </c>
      <c r="F76" s="1" t="s">
        <v>92</v>
      </c>
      <c r="G76" s="1">
        <v>1300000000</v>
      </c>
      <c r="H76" s="1">
        <v>1001000000</v>
      </c>
      <c r="I76" s="1" t="s">
        <v>92</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104</v>
      </c>
      <c r="B80" s="15" t="e">
        <f t="shared" ref="B80:AF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f t="shared" si="61"/>
        <v>3.5593139362667813E-3</v>
      </c>
      <c r="R80" s="15">
        <f t="shared" si="61"/>
        <v>3.627343146661674E-3</v>
      </c>
      <c r="S80" s="15">
        <f t="shared" si="61"/>
        <v>3.4079090044037267E-3</v>
      </c>
      <c r="T80" s="15">
        <f t="shared" si="61"/>
        <v>3.6678820164618036E-3</v>
      </c>
      <c r="U80" s="15">
        <f t="shared" si="61"/>
        <v>3.3764166971332718E-3</v>
      </c>
      <c r="V80" s="15">
        <f t="shared" si="61"/>
        <v>3.5394853969734222E-3</v>
      </c>
      <c r="W80" s="15">
        <f t="shared" si="61"/>
        <v>4.1668503902288464E-3</v>
      </c>
      <c r="X80" s="15">
        <f t="shared" si="61"/>
        <v>3.5964912280701754E-3</v>
      </c>
      <c r="Y80" s="15">
        <f t="shared" si="61"/>
        <v>2.9914159368767883E-3</v>
      </c>
      <c r="Z80" s="15">
        <f t="shared" si="61"/>
        <v>3.1535726379952589E-3</v>
      </c>
      <c r="AA80" s="15">
        <f t="shared" si="61"/>
        <v>3.0951261557749569E-3</v>
      </c>
      <c r="AB80" s="15">
        <f t="shared" si="61"/>
        <v>3.2178862393512147E-3</v>
      </c>
      <c r="AC80" s="15">
        <f t="shared" si="61"/>
        <v>3.1599010232060457E-3</v>
      </c>
      <c r="AD80" s="15">
        <f t="shared" si="61"/>
        <v>3.379308235725863E-3</v>
      </c>
      <c r="AE80" s="15">
        <f t="shared" si="61"/>
        <v>3.3858361672931209E-3</v>
      </c>
      <c r="AF80" s="15">
        <f t="shared" si="61"/>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92</v>
      </c>
      <c r="K82" s="1" t="s">
        <v>92</v>
      </c>
      <c r="L82" s="1">
        <v>394000000</v>
      </c>
      <c r="M82" s="1" t="s">
        <v>92</v>
      </c>
      <c r="N82" s="1">
        <v>-87000000</v>
      </c>
      <c r="O82" s="1">
        <v>-390000000</v>
      </c>
      <c r="P82" s="1" t="s">
        <v>92</v>
      </c>
      <c r="Q82" s="1" t="s">
        <v>92</v>
      </c>
      <c r="R82" s="1" t="s">
        <v>92</v>
      </c>
      <c r="S82" s="1" t="s">
        <v>92</v>
      </c>
      <c r="T82" s="1">
        <v>-15000000</v>
      </c>
      <c r="U82" s="1" t="s">
        <v>92</v>
      </c>
      <c r="V82" s="1">
        <v>-460000000</v>
      </c>
      <c r="W82" s="1">
        <v>767000000</v>
      </c>
      <c r="X82" s="1">
        <v>28000000</v>
      </c>
      <c r="Y82" s="1">
        <v>-256000000</v>
      </c>
      <c r="Z82" s="1">
        <v>-811000000</v>
      </c>
      <c r="AA82" s="1">
        <v>-401000000</v>
      </c>
      <c r="AB82" s="1">
        <v>-179000000</v>
      </c>
      <c r="AC82" s="1">
        <v>107000000</v>
      </c>
      <c r="AD82" s="1">
        <v>359000000</v>
      </c>
      <c r="AE82" s="1">
        <v>15000000</v>
      </c>
      <c r="AF82" s="1" t="s">
        <v>92</v>
      </c>
    </row>
    <row r="83" spans="1:40" ht="21"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c r="AM83" s="55" t="s">
        <v>125</v>
      </c>
      <c r="AN83" s="56"/>
    </row>
    <row r="84" spans="1:40" ht="19" x14ac:dyDescent="0.25">
      <c r="A84" s="5" t="s">
        <v>47</v>
      </c>
      <c r="B84" s="1" t="s">
        <v>92</v>
      </c>
      <c r="C84" s="1" t="s">
        <v>92</v>
      </c>
      <c r="D84" s="1" t="s">
        <v>92</v>
      </c>
      <c r="E84" s="1" t="s">
        <v>92</v>
      </c>
      <c r="F84" s="1" t="s">
        <v>92</v>
      </c>
      <c r="G84" s="1" t="s">
        <v>92</v>
      </c>
      <c r="H84" s="1" t="s">
        <v>92</v>
      </c>
      <c r="I84" s="1" t="s">
        <v>92</v>
      </c>
      <c r="J84" s="1" t="s">
        <v>92</v>
      </c>
      <c r="K84" s="1" t="s">
        <v>92</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M84" s="57" t="s">
        <v>126</v>
      </c>
      <c r="AN84" s="57"/>
    </row>
    <row r="85" spans="1:40" ht="20" x14ac:dyDescent="0.25">
      <c r="A85" s="5" t="s">
        <v>71</v>
      </c>
      <c r="B85" s="1">
        <v>-88000000</v>
      </c>
      <c r="C85" s="1">
        <v>-405000000</v>
      </c>
      <c r="D85" s="1">
        <v>-77000000</v>
      </c>
      <c r="E85" s="1">
        <v>-419000000</v>
      </c>
      <c r="F85" s="1">
        <v>-139000000</v>
      </c>
      <c r="G85" s="1">
        <v>-149000000</v>
      </c>
      <c r="H85" s="1">
        <v>-322000000</v>
      </c>
      <c r="I85" s="1">
        <v>-677000000</v>
      </c>
      <c r="J85" s="1" t="s">
        <v>92</v>
      </c>
      <c r="K85" s="1">
        <v>-336000000</v>
      </c>
      <c r="L85" s="1">
        <v>320000000</v>
      </c>
      <c r="M85" s="1" t="s">
        <v>92</v>
      </c>
      <c r="N85" s="1" t="s">
        <v>92</v>
      </c>
      <c r="O85" s="1" t="s">
        <v>92</v>
      </c>
      <c r="P85" s="1" t="s">
        <v>92</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92</v>
      </c>
      <c r="AM85" s="31" t="s">
        <v>127</v>
      </c>
      <c r="AN85" s="32">
        <f>AF17</f>
        <v>623000000</v>
      </c>
    </row>
    <row r="86" spans="1:40" ht="20" x14ac:dyDescent="0.25">
      <c r="A86" s="5" t="s">
        <v>72</v>
      </c>
      <c r="B86" s="1">
        <v>649000000</v>
      </c>
      <c r="C86" s="1">
        <v>829000000</v>
      </c>
      <c r="D86" s="1">
        <v>887000000</v>
      </c>
      <c r="E86" s="1">
        <v>1164000000</v>
      </c>
      <c r="F86" s="1">
        <v>738000000</v>
      </c>
      <c r="G86" s="1">
        <v>-379000000</v>
      </c>
      <c r="H86" s="1" t="s">
        <v>92</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92</v>
      </c>
      <c r="AM86" s="31" t="s">
        <v>128</v>
      </c>
      <c r="AN86" s="33">
        <f>AF56</f>
        <v>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M87" s="31" t="s">
        <v>129</v>
      </c>
      <c r="AN87" s="32">
        <f>AF61</f>
        <v>15429000000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0</v>
      </c>
      <c r="W88" s="1">
        <v>0</v>
      </c>
      <c r="X88" s="1">
        <v>0</v>
      </c>
      <c r="Y88" s="1">
        <v>0</v>
      </c>
      <c r="Z88" s="1">
        <v>0</v>
      </c>
      <c r="AA88" s="1">
        <v>0</v>
      </c>
      <c r="AB88" s="1">
        <v>0</v>
      </c>
      <c r="AC88" s="1">
        <v>0</v>
      </c>
      <c r="AD88" s="1">
        <v>0</v>
      </c>
      <c r="AE88" s="1">
        <v>0</v>
      </c>
      <c r="AF88" s="1">
        <v>0</v>
      </c>
      <c r="AM88" s="34" t="s">
        <v>130</v>
      </c>
      <c r="AN88" s="35">
        <f>AN85/(AN86+AN87)</f>
        <v>4.0378508004407287E-2</v>
      </c>
    </row>
    <row r="89" spans="1:40" ht="20" x14ac:dyDescent="0.25">
      <c r="A89" s="14" t="s">
        <v>105</v>
      </c>
      <c r="B89" s="15">
        <f t="shared" ref="B89:AF89" si="62">(-1*B88)/B3</f>
        <v>3.106674984404242E-2</v>
      </c>
      <c r="C89" s="15">
        <f t="shared" si="62"/>
        <v>2.3931776577220162E-2</v>
      </c>
      <c r="D89" s="15">
        <f t="shared" si="62"/>
        <v>2.2221252073692483E-2</v>
      </c>
      <c r="E89" s="15">
        <f t="shared" si="62"/>
        <v>2.3235461427383714E-2</v>
      </c>
      <c r="F89" s="15">
        <f t="shared" si="62"/>
        <v>2.7423255813953488E-2</v>
      </c>
      <c r="G89" s="15">
        <f t="shared" si="62"/>
        <v>2.6719868894509956E-2</v>
      </c>
      <c r="H89" s="15">
        <f t="shared" si="62"/>
        <v>2.6536206502703115E-2</v>
      </c>
      <c r="I89" s="15">
        <f t="shared" si="62"/>
        <v>2.6204465334900118E-2</v>
      </c>
      <c r="J89" s="15">
        <f t="shared" si="62"/>
        <v>1.9740218721623435E-2</v>
      </c>
      <c r="K89" s="15">
        <f t="shared" si="62"/>
        <v>2.5802417674030846E-2</v>
      </c>
      <c r="L89" s="15">
        <f t="shared" si="62"/>
        <v>2.4907818496500866E-2</v>
      </c>
      <c r="M89" s="15">
        <f t="shared" si="62"/>
        <v>2.1587481146304675E-2</v>
      </c>
      <c r="N89" s="15">
        <f t="shared" si="62"/>
        <v>2.1646118335866688E-2</v>
      </c>
      <c r="O89" s="15">
        <f t="shared" si="62"/>
        <v>2.3244565071346035E-2</v>
      </c>
      <c r="P89" s="15">
        <f t="shared" si="62"/>
        <v>2.2539121655729428E-2</v>
      </c>
      <c r="Q89" s="15">
        <f t="shared" si="62"/>
        <v>2.2454732215374324E-2</v>
      </c>
      <c r="R89" s="15">
        <f t="shared" si="62"/>
        <v>2.1670450024572324E-2</v>
      </c>
      <c r="S89" s="15">
        <f t="shared" si="62"/>
        <v>1.8854145920467372E-2</v>
      </c>
      <c r="T89" s="15">
        <f t="shared" si="62"/>
        <v>1.7902757461301662E-2</v>
      </c>
      <c r="U89" s="15">
        <f t="shared" si="62"/>
        <v>1.7505752811888427E-2</v>
      </c>
      <c r="V89" s="15">
        <f t="shared" si="62"/>
        <v>0</v>
      </c>
      <c r="W89" s="15">
        <f t="shared" si="62"/>
        <v>0</v>
      </c>
      <c r="X89" s="15">
        <f t="shared" si="62"/>
        <v>0</v>
      </c>
      <c r="Y89" s="15">
        <f t="shared" si="62"/>
        <v>0</v>
      </c>
      <c r="Z89" s="15">
        <f t="shared" si="62"/>
        <v>0</v>
      </c>
      <c r="AA89" s="15">
        <f t="shared" si="62"/>
        <v>0</v>
      </c>
      <c r="AB89" s="15">
        <f t="shared" si="62"/>
        <v>0</v>
      </c>
      <c r="AC89" s="15">
        <f t="shared" si="62"/>
        <v>0</v>
      </c>
      <c r="AD89" s="15">
        <f t="shared" si="62"/>
        <v>0</v>
      </c>
      <c r="AE89" s="15">
        <f t="shared" si="62"/>
        <v>0</v>
      </c>
      <c r="AF89" s="15">
        <f t="shared" si="62"/>
        <v>0</v>
      </c>
      <c r="AM89" s="31" t="s">
        <v>106</v>
      </c>
      <c r="AN89" s="32">
        <f>AF27</f>
        <v>948000000</v>
      </c>
    </row>
    <row r="90" spans="1:40" ht="20" x14ac:dyDescent="0.25">
      <c r="A90" s="5" t="s">
        <v>75</v>
      </c>
      <c r="B90" s="1">
        <v>-19000000</v>
      </c>
      <c r="C90" s="1">
        <v>-2420000000</v>
      </c>
      <c r="D90" s="1">
        <v>-125000000</v>
      </c>
      <c r="E90" s="1">
        <v>-294000000</v>
      </c>
      <c r="F90" s="1">
        <v>-35000000</v>
      </c>
      <c r="G90" s="1">
        <v>890000000</v>
      </c>
      <c r="H90" s="1">
        <v>134000000</v>
      </c>
      <c r="I90" s="1">
        <v>160000000</v>
      </c>
      <c r="J90" s="1" t="s">
        <v>92</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92</v>
      </c>
      <c r="AA90" s="1" t="s">
        <v>92</v>
      </c>
      <c r="AB90" s="1" t="s">
        <v>92</v>
      </c>
      <c r="AC90" s="1" t="s">
        <v>92</v>
      </c>
      <c r="AD90" s="1">
        <v>-282000000</v>
      </c>
      <c r="AE90" s="1" t="s">
        <v>92</v>
      </c>
      <c r="AF90" s="1" t="s">
        <v>92</v>
      </c>
      <c r="AM90" s="31" t="s">
        <v>19</v>
      </c>
      <c r="AN90" s="32">
        <f>AF25</f>
        <v>6680000000</v>
      </c>
    </row>
    <row r="91" spans="1:40" ht="20" x14ac:dyDescent="0.25">
      <c r="A91" s="5" t="s">
        <v>76</v>
      </c>
      <c r="B91" s="1">
        <v>-200000000</v>
      </c>
      <c r="C91" s="1" t="s">
        <v>92</v>
      </c>
      <c r="D91" s="1" t="s">
        <v>92</v>
      </c>
      <c r="E91" s="1" t="s">
        <v>92</v>
      </c>
      <c r="F91" s="1" t="s">
        <v>92</v>
      </c>
      <c r="G91" s="1" t="s">
        <v>92</v>
      </c>
      <c r="H91" s="1" t="s">
        <v>92</v>
      </c>
      <c r="I91" s="1" t="s">
        <v>92</v>
      </c>
      <c r="J91" s="1" t="s">
        <v>92</v>
      </c>
      <c r="K91" s="1">
        <v>-192000000</v>
      </c>
      <c r="L91" s="1" t="s">
        <v>92</v>
      </c>
      <c r="M91" s="1">
        <v>-240000000</v>
      </c>
      <c r="N91" s="1">
        <v>-156000000</v>
      </c>
      <c r="O91" s="1">
        <v>-33000000</v>
      </c>
      <c r="P91" s="1" t="s">
        <v>92</v>
      </c>
      <c r="Q91" s="1" t="s">
        <v>92</v>
      </c>
      <c r="R91" s="1" t="s">
        <v>92</v>
      </c>
      <c r="S91" s="1">
        <v>-279000000</v>
      </c>
      <c r="T91" s="1">
        <v>-171000000</v>
      </c>
      <c r="U91" s="1" t="s">
        <v>92</v>
      </c>
      <c r="V91" s="1" t="s">
        <v>92</v>
      </c>
      <c r="W91" s="1" t="s">
        <v>92</v>
      </c>
      <c r="X91" s="1" t="s">
        <v>92</v>
      </c>
      <c r="Y91" s="1" t="s">
        <v>92</v>
      </c>
      <c r="Z91" s="1" t="s">
        <v>92</v>
      </c>
      <c r="AA91" s="1" t="s">
        <v>92</v>
      </c>
      <c r="AB91" s="1" t="s">
        <v>92</v>
      </c>
      <c r="AC91" s="1" t="s">
        <v>92</v>
      </c>
      <c r="AD91" s="1" t="s">
        <v>92</v>
      </c>
      <c r="AE91" s="1" t="s">
        <v>92</v>
      </c>
      <c r="AF91" s="1" t="s">
        <v>92</v>
      </c>
      <c r="AM91" s="34" t="s">
        <v>131</v>
      </c>
      <c r="AN91" s="35">
        <f>AN89/AN90</f>
        <v>0.14191616766467066</v>
      </c>
    </row>
    <row r="92" spans="1:40" ht="20" x14ac:dyDescent="0.25">
      <c r="A92" s="5" t="s">
        <v>77</v>
      </c>
      <c r="B92" s="1">
        <v>214000000</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v>272000000</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t="s">
        <v>92</v>
      </c>
      <c r="AM92" s="34" t="s">
        <v>132</v>
      </c>
      <c r="AN92" s="35">
        <f>AN88*(1-AN91)</f>
        <v>3.464814489240458E-2</v>
      </c>
    </row>
    <row r="93" spans="1:40" ht="19"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M93" s="58" t="s">
        <v>133</v>
      </c>
      <c r="AN93" s="58"/>
    </row>
    <row r="94" spans="1:40" ht="20"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M94" s="31" t="s">
        <v>134</v>
      </c>
      <c r="AN94" s="36">
        <v>4.095E-2</v>
      </c>
    </row>
    <row r="95" spans="1:40" ht="20" x14ac:dyDescent="0.25">
      <c r="A95" s="5" t="s">
        <v>80</v>
      </c>
      <c r="B95" s="1">
        <v>-494000000</v>
      </c>
      <c r="C95" s="1">
        <v>-750000000</v>
      </c>
      <c r="D95" s="1">
        <v>-519000000</v>
      </c>
      <c r="E95" s="1">
        <v>-301000000</v>
      </c>
      <c r="F95" s="1">
        <v>-2105000000</v>
      </c>
      <c r="G95" s="1">
        <v>-219000000</v>
      </c>
      <c r="H95" s="1">
        <v>-1136000000</v>
      </c>
      <c r="I95" s="1">
        <v>-1935000000</v>
      </c>
      <c r="J95" s="1" t="s">
        <v>92</v>
      </c>
      <c r="K95" s="1">
        <v>-2578000000</v>
      </c>
      <c r="L95" s="1">
        <v>-110000000</v>
      </c>
      <c r="M95" s="1">
        <v>-2202000000</v>
      </c>
      <c r="N95" s="1">
        <v>-1252000000</v>
      </c>
      <c r="O95" s="1">
        <v>-145000000</v>
      </c>
      <c r="P95" s="1">
        <v>-210000000</v>
      </c>
      <c r="Q95" s="1">
        <v>-32000000</v>
      </c>
      <c r="R95" s="1">
        <v>-1103000000</v>
      </c>
      <c r="S95" s="1">
        <v>-242000000</v>
      </c>
      <c r="T95" s="1" t="s">
        <v>92</v>
      </c>
      <c r="U95" s="1">
        <v>-632000000</v>
      </c>
      <c r="V95" s="1" t="s">
        <v>92</v>
      </c>
      <c r="W95" s="1">
        <v>-150000000</v>
      </c>
      <c r="X95" s="1" t="s">
        <v>92</v>
      </c>
      <c r="Y95" s="1">
        <v>-6000000000</v>
      </c>
      <c r="Z95" s="1">
        <v>-952000000</v>
      </c>
      <c r="AA95" s="1" t="s">
        <v>92</v>
      </c>
      <c r="AB95" s="1">
        <v>-750000000</v>
      </c>
      <c r="AC95" s="1">
        <v>-1500000000</v>
      </c>
      <c r="AD95" s="1">
        <v>-1650000000</v>
      </c>
      <c r="AE95" s="1">
        <v>-500000000</v>
      </c>
      <c r="AF95" s="1">
        <v>-2250000000</v>
      </c>
      <c r="AM95" s="31" t="s">
        <v>135</v>
      </c>
      <c r="AN95" s="37" cm="1">
        <f t="array" ref="AN95">_FV(A1,"Beta")</f>
        <v>0.6694</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92</v>
      </c>
      <c r="V96" s="1" t="s">
        <v>92</v>
      </c>
      <c r="W96" s="1" t="s">
        <v>92</v>
      </c>
      <c r="X96" s="1" t="s">
        <v>92</v>
      </c>
      <c r="Y96" s="1" t="s">
        <v>92</v>
      </c>
      <c r="Z96" s="1" t="s">
        <v>92</v>
      </c>
      <c r="AA96" s="1" t="s">
        <v>92</v>
      </c>
      <c r="AB96" s="1" t="s">
        <v>92</v>
      </c>
      <c r="AC96" s="1" t="s">
        <v>92</v>
      </c>
      <c r="AD96" s="1" t="s">
        <v>92</v>
      </c>
      <c r="AE96" s="1" t="s">
        <v>92</v>
      </c>
      <c r="AF96" s="1" t="s">
        <v>92</v>
      </c>
      <c r="AM96" s="31" t="s">
        <v>136</v>
      </c>
      <c r="AN96" s="36">
        <v>8.4000000000000005E-2</v>
      </c>
    </row>
    <row r="97" spans="1:40" ht="20" x14ac:dyDescent="0.25">
      <c r="A97" s="5" t="s">
        <v>82</v>
      </c>
      <c r="B97" s="1">
        <v>-266000000</v>
      </c>
      <c r="C97" s="1" t="s">
        <v>92</v>
      </c>
      <c r="D97" s="1" t="s">
        <v>92</v>
      </c>
      <c r="E97" s="1">
        <v>-150000000</v>
      </c>
      <c r="F97" s="1" t="s">
        <v>92</v>
      </c>
      <c r="G97" s="1">
        <v>-1571000000</v>
      </c>
      <c r="H97" s="1">
        <v>-51000000</v>
      </c>
      <c r="I97" s="1" t="s">
        <v>92</v>
      </c>
      <c r="J97" s="1" t="s">
        <v>92</v>
      </c>
      <c r="K97" s="1" t="s">
        <v>92</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M97" s="34" t="s">
        <v>137</v>
      </c>
      <c r="AN97" s="35">
        <f>(AN94)+((AN95)*(AN96-AN94))</f>
        <v>6.9767670000000004E-2</v>
      </c>
    </row>
    <row r="98" spans="1:40" ht="19"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M98" s="58" t="s">
        <v>138</v>
      </c>
      <c r="AN98" s="58"/>
    </row>
    <row r="99" spans="1:40" ht="20" x14ac:dyDescent="0.25">
      <c r="A99" s="5" t="s">
        <v>84</v>
      </c>
      <c r="B99" s="1">
        <v>345000000</v>
      </c>
      <c r="C99" s="1">
        <v>2281000000</v>
      </c>
      <c r="D99" s="1">
        <v>43000000</v>
      </c>
      <c r="E99" s="1">
        <v>125000000</v>
      </c>
      <c r="F99" s="1">
        <v>8110000000</v>
      </c>
      <c r="G99" s="1">
        <v>639000000</v>
      </c>
      <c r="H99" s="1">
        <v>115000000</v>
      </c>
      <c r="I99" s="1">
        <v>2994000000</v>
      </c>
      <c r="J99" s="1">
        <v>-2559000000</v>
      </c>
      <c r="K99" s="1" t="s">
        <v>92</v>
      </c>
      <c r="L99" s="1" t="s">
        <v>92</v>
      </c>
      <c r="M99" s="1">
        <v>825000000</v>
      </c>
      <c r="N99" s="1" t="s">
        <v>92</v>
      </c>
      <c r="O99" s="1" t="s">
        <v>92</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M99" s="31" t="s">
        <v>139</v>
      </c>
      <c r="AN99" s="32">
        <f>AN86+AN87</f>
        <v>15429000000</v>
      </c>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M100" s="34" t="s">
        <v>140</v>
      </c>
      <c r="AN100" s="35">
        <f>AN99/AN103</f>
        <v>0.11768402955486926</v>
      </c>
    </row>
    <row r="101" spans="1:40"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v>-56000000</v>
      </c>
      <c r="S101" s="1">
        <v>44000000</v>
      </c>
      <c r="T101" s="1">
        <v>5000000</v>
      </c>
      <c r="U101" s="1" t="s">
        <v>92</v>
      </c>
      <c r="V101" s="1" t="s">
        <v>92</v>
      </c>
      <c r="W101" s="1" t="s">
        <v>92</v>
      </c>
      <c r="X101" s="1" t="s">
        <v>92</v>
      </c>
      <c r="Y101" s="1" t="s">
        <v>92</v>
      </c>
      <c r="Z101" s="1" t="s">
        <v>92</v>
      </c>
      <c r="AA101" s="1" t="s">
        <v>92</v>
      </c>
      <c r="AB101" s="1" t="s">
        <v>92</v>
      </c>
      <c r="AC101" s="1" t="s">
        <v>92</v>
      </c>
      <c r="AD101" s="1" t="s">
        <v>92</v>
      </c>
      <c r="AE101" s="1" t="s">
        <v>92</v>
      </c>
      <c r="AF101" s="1" t="s">
        <v>92</v>
      </c>
      <c r="AM101" s="31" t="s">
        <v>141</v>
      </c>
      <c r="AN101" s="22" cm="1">
        <f t="array" ref="AN101">_FV(A1,"Market cap",TRUE)</f>
        <v>115676300000</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M102" s="34" t="s">
        <v>142</v>
      </c>
      <c r="AN102" s="35">
        <f>AN101/AN103</f>
        <v>0.88231597044513077</v>
      </c>
    </row>
    <row r="103" spans="1:40" ht="20" x14ac:dyDescent="0.25">
      <c r="A103" s="5" t="s">
        <v>88</v>
      </c>
      <c r="B103" s="1">
        <v>344000000</v>
      </c>
      <c r="C103" s="1">
        <v>356000000</v>
      </c>
      <c r="D103" s="1">
        <v>366000000</v>
      </c>
      <c r="E103" s="1">
        <v>639000000</v>
      </c>
      <c r="F103" s="1">
        <v>653000000</v>
      </c>
      <c r="G103" s="1" t="s">
        <v>92</v>
      </c>
      <c r="H103" s="1" t="s">
        <v>92</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M103" s="34" t="s">
        <v>143</v>
      </c>
      <c r="AN103" s="38">
        <f>AN99+AN101</f>
        <v>131105300000</v>
      </c>
    </row>
    <row r="104" spans="1:40" ht="19" x14ac:dyDescent="0.25">
      <c r="A104" s="7" t="s">
        <v>89</v>
      </c>
      <c r="B104" s="11">
        <v>356000000</v>
      </c>
      <c r="C104" s="11">
        <v>366000000</v>
      </c>
      <c r="D104" s="11">
        <v>639000000</v>
      </c>
      <c r="E104" s="11">
        <v>653000000</v>
      </c>
      <c r="F104" s="11" t="s">
        <v>92</v>
      </c>
      <c r="G104" s="11" t="s">
        <v>92</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M104" s="57" t="s">
        <v>144</v>
      </c>
      <c r="AN104" s="57"/>
    </row>
    <row r="105" spans="1:40" ht="20" x14ac:dyDescent="0.25">
      <c r="A105" s="14" t="s">
        <v>107</v>
      </c>
      <c r="B105" s="1"/>
      <c r="C105" s="15">
        <f>(C106/B106)-1</f>
        <v>0.35735294117647065</v>
      </c>
      <c r="D105" s="15">
        <f>(D106/C106)-1</f>
        <v>6.6088840736728161E-2</v>
      </c>
      <c r="E105" s="15">
        <f>(E106/D106)-1</f>
        <v>-0.22662601626016265</v>
      </c>
      <c r="F105" s="15">
        <f>(F106/E106)-1</f>
        <v>0.18134034165571622</v>
      </c>
      <c r="G105" s="15">
        <f>(G106/F106)-1</f>
        <v>-0.49054505005561733</v>
      </c>
      <c r="H105" s="15">
        <f t="shared" ref="H105:Q105" si="63">(H106/G106)-1</f>
        <v>1.9126637554585151</v>
      </c>
      <c r="I105" s="15">
        <f t="shared" si="63"/>
        <v>-0.69415292353823088</v>
      </c>
      <c r="J105" s="15">
        <f t="shared" si="63"/>
        <v>2.715686274509804</v>
      </c>
      <c r="K105" s="15">
        <f t="shared" si="63"/>
        <v>-0.20448548812664913</v>
      </c>
      <c r="L105" s="15">
        <f t="shared" si="63"/>
        <v>0.34825870646766166</v>
      </c>
      <c r="M105" s="15">
        <f t="shared" si="63"/>
        <v>-0.30996309963099633</v>
      </c>
      <c r="N105" s="15">
        <f t="shared" si="63"/>
        <v>0.92067736185383242</v>
      </c>
      <c r="O105" s="15">
        <f t="shared" si="63"/>
        <v>8.0742459396751842E-2</v>
      </c>
      <c r="P105" s="15">
        <f t="shared" si="63"/>
        <v>0.24087591240875916</v>
      </c>
      <c r="Q105" s="15">
        <f t="shared" si="63"/>
        <v>0.14221453287197239</v>
      </c>
      <c r="R105" s="15">
        <f t="shared" ref="R105" si="64">(R106/Q106)-1</f>
        <v>5.8770069675855741E-2</v>
      </c>
      <c r="S105" s="15">
        <f t="shared" ref="S105" si="65">(S106/R106)-1</f>
        <v>-0.33590844062947067</v>
      </c>
      <c r="T105" s="15">
        <f t="shared" ref="T105" si="66">(T106/S106)-1</f>
        <v>0.17492460146488575</v>
      </c>
      <c r="U105" s="15">
        <f t="shared" ref="U105" si="67">(U106/T106)-1</f>
        <v>0.19765309864319769</v>
      </c>
      <c r="V105" s="15">
        <f t="shared" ref="V105" si="68">(V106/U106)-1</f>
        <v>-0.81047152480097973</v>
      </c>
      <c r="W105" s="15">
        <f t="shared" ref="W105" si="69">(W106/V106)-1</f>
        <v>4.9935379644588043</v>
      </c>
      <c r="X105" s="15">
        <f t="shared" ref="X105" si="70">(X106/W106)-1</f>
        <v>-0.18571428571428572</v>
      </c>
      <c r="Y105" s="15">
        <f t="shared" ref="Y105" si="71">(Y106/X106)-1</f>
        <v>0.37768950678583257</v>
      </c>
      <c r="Z105" s="15">
        <f t="shared" ref="Z105" si="72">(Z106/Y106)-1</f>
        <v>-8.6496876501681585E-3</v>
      </c>
      <c r="AA105" s="15">
        <f t="shared" ref="AA105" si="73">(AA106/Z106)-1</f>
        <v>0.28429471643238013</v>
      </c>
      <c r="AB105" s="15">
        <f t="shared" ref="AB105" si="74">(AB106/AA106)-1</f>
        <v>-0.64899037554255523</v>
      </c>
      <c r="AC105" s="15">
        <f t="shared" ref="AC105" si="75">(AC106/AB106)-1</f>
        <v>2.1327956989247312</v>
      </c>
      <c r="AD105" s="15">
        <f t="shared" ref="AD105" si="76">(AD106/AC106)-1</f>
        <v>0.10125278874206289</v>
      </c>
      <c r="AE105" s="15">
        <f t="shared" ref="AE105" si="77">(AE106/AD106)-1</f>
        <v>0.19978182951534995</v>
      </c>
      <c r="AF105" s="15">
        <f t="shared" ref="AF105" si="78">(AF106/AE106)-1</f>
        <v>-0.20353292635407194</v>
      </c>
      <c r="AG105" s="15"/>
      <c r="AH105" s="15"/>
      <c r="AI105" s="15"/>
      <c r="AJ105" s="15"/>
      <c r="AK105" s="15"/>
      <c r="AL105" s="15"/>
      <c r="AM105" s="39" t="s">
        <v>108</v>
      </c>
      <c r="AN105" s="40">
        <f>(AN100*AN92)+(AN102*AN97)</f>
        <v>6.5634662769284771E-2</v>
      </c>
    </row>
    <row r="106" spans="1:40" ht="19" x14ac:dyDescent="0.25">
      <c r="A106" s="5" t="s">
        <v>90</v>
      </c>
      <c r="B106" s="1">
        <v>680000000</v>
      </c>
      <c r="C106" s="1">
        <v>923000000</v>
      </c>
      <c r="D106" s="1">
        <v>984000000</v>
      </c>
      <c r="E106" s="1">
        <v>761000000</v>
      </c>
      <c r="F106" s="1">
        <v>899000000</v>
      </c>
      <c r="G106" s="1">
        <v>458000000</v>
      </c>
      <c r="H106" s="1">
        <v>1334000000</v>
      </c>
      <c r="I106" s="1">
        <v>408000000</v>
      </c>
      <c r="J106" s="1">
        <v>1516000000</v>
      </c>
      <c r="K106" s="1">
        <v>1206000000</v>
      </c>
      <c r="L106" s="1">
        <v>1626000000</v>
      </c>
      <c r="M106" s="1">
        <v>1122000000</v>
      </c>
      <c r="N106" s="1">
        <v>2155000000</v>
      </c>
      <c r="O106" s="1">
        <v>2329000000</v>
      </c>
      <c r="P106" s="1">
        <v>2890000000</v>
      </c>
      <c r="Q106" s="1">
        <v>3301000000</v>
      </c>
      <c r="R106" s="1">
        <v>3495000000</v>
      </c>
      <c r="S106" s="1">
        <v>2321000000</v>
      </c>
      <c r="T106" s="1">
        <v>2727000000</v>
      </c>
      <c r="U106" s="1">
        <v>3266000000</v>
      </c>
      <c r="V106" s="1">
        <v>619000000</v>
      </c>
      <c r="W106" s="1">
        <v>3710000000</v>
      </c>
      <c r="X106" s="1">
        <v>3021000000</v>
      </c>
      <c r="Y106" s="1">
        <v>4162000000</v>
      </c>
      <c r="Z106" s="1">
        <v>4126000000</v>
      </c>
      <c r="AA106" s="1">
        <v>5299000000</v>
      </c>
      <c r="AB106" s="1">
        <v>1860000000</v>
      </c>
      <c r="AC106" s="1">
        <v>5827000000</v>
      </c>
      <c r="AD106" s="1">
        <v>6417000000</v>
      </c>
      <c r="AE106" s="1">
        <v>7699000000</v>
      </c>
      <c r="AF106" s="1">
        <v>6132000000</v>
      </c>
      <c r="AG106" s="20">
        <f>AF106*(1+$AN$106)</f>
        <v>6332830490.7802515</v>
      </c>
      <c r="AH106" s="20">
        <f t="shared" ref="AH106:AK106" si="79">AG106*(1+$AN$106)</f>
        <v>6540238425.4657602</v>
      </c>
      <c r="AI106" s="20">
        <f t="shared" si="79"/>
        <v>6754439223.3793526</v>
      </c>
      <c r="AJ106" s="20">
        <f t="shared" si="79"/>
        <v>6975655359.0898314</v>
      </c>
      <c r="AK106" s="20">
        <f t="shared" si="79"/>
        <v>7204116593.4799004</v>
      </c>
      <c r="AL106" s="21" t="s">
        <v>145</v>
      </c>
      <c r="AM106" s="41" t="s">
        <v>146</v>
      </c>
      <c r="AN106" s="42">
        <f>(SUM(AG4:AK4)/5)</f>
        <v>3.2751221588429892E-2</v>
      </c>
    </row>
    <row r="107" spans="1:40" ht="19" x14ac:dyDescent="0.25">
      <c r="A107" s="52" t="s">
        <v>116</v>
      </c>
      <c r="B107" s="53">
        <f t="shared" ref="B107:AE107" si="80">B106/B3</f>
        <v>4.2420461634435434E-2</v>
      </c>
      <c r="C107" s="53">
        <f t="shared" si="80"/>
        <v>4.1210876456668301E-2</v>
      </c>
      <c r="D107" s="53">
        <f t="shared" si="80"/>
        <v>4.2958176896882916E-2</v>
      </c>
      <c r="E107" s="53">
        <f t="shared" si="80"/>
        <v>3.3299785586137484E-2</v>
      </c>
      <c r="F107" s="53">
        <f t="shared" si="80"/>
        <v>3.3451162790697674E-2</v>
      </c>
      <c r="G107" s="53">
        <f t="shared" si="80"/>
        <v>1.6316933271580746E-2</v>
      </c>
      <c r="H107" s="53">
        <f t="shared" si="80"/>
        <v>5.0788091068301226E-2</v>
      </c>
      <c r="I107" s="53">
        <f t="shared" si="80"/>
        <v>1.5981198589894243E-2</v>
      </c>
      <c r="J107" s="53">
        <f t="shared" si="80"/>
        <v>5.9852343163962256E-2</v>
      </c>
      <c r="K107" s="53">
        <f t="shared" si="80"/>
        <v>5.0270946227594829E-2</v>
      </c>
      <c r="L107" s="53">
        <f t="shared" si="80"/>
        <v>6.1178418240650165E-2</v>
      </c>
      <c r="M107" s="53">
        <f t="shared" si="80"/>
        <v>3.5256410256410256E-2</v>
      </c>
      <c r="N107" s="53">
        <f t="shared" si="80"/>
        <v>6.0659798457467773E-2</v>
      </c>
      <c r="O107" s="53">
        <f t="shared" si="80"/>
        <v>6.2585655550479666E-2</v>
      </c>
      <c r="P107" s="53">
        <f t="shared" si="80"/>
        <v>7.29429581019687E-2</v>
      </c>
      <c r="Q107" s="53">
        <f t="shared" si="80"/>
        <v>7.8854330896756003E-2</v>
      </c>
      <c r="R107" s="53">
        <f t="shared" si="80"/>
        <v>8.179073740375839E-2</v>
      </c>
      <c r="S107" s="53">
        <f t="shared" si="80"/>
        <v>5.1362057137799025E-2</v>
      </c>
      <c r="T107" s="53">
        <f t="shared" si="80"/>
        <v>5.9537584874353205E-2</v>
      </c>
      <c r="U107" s="53">
        <f t="shared" si="80"/>
        <v>7.0238069635906147E-2</v>
      </c>
      <c r="V107" s="53">
        <f t="shared" si="80"/>
        <v>1.3119409944470349E-2</v>
      </c>
      <c r="W107" s="53">
        <f t="shared" si="80"/>
        <v>8.1793729882269947E-2</v>
      </c>
      <c r="X107" s="53">
        <f t="shared" si="80"/>
        <v>6.6250000000000003E-2</v>
      </c>
      <c r="Y107" s="53">
        <f t="shared" si="80"/>
        <v>9.0219370502037627E-2</v>
      </c>
      <c r="Z107" s="53">
        <f t="shared" si="80"/>
        <v>8.7326447680325089E-2</v>
      </c>
      <c r="AA107" s="53">
        <f t="shared" si="80"/>
        <v>0.10380426265475631</v>
      </c>
      <c r="AB107" s="53">
        <f t="shared" si="80"/>
        <v>3.4596927197648897E-2</v>
      </c>
      <c r="AC107" s="53">
        <f t="shared" si="80"/>
        <v>9.7421922022336654E-2</v>
      </c>
      <c r="AD107" s="53">
        <f t="shared" si="80"/>
        <v>9.8122266735985814E-2</v>
      </c>
      <c r="AE107" s="53">
        <f t="shared" si="80"/>
        <v>0.11483503370920589</v>
      </c>
      <c r="AF107" s="53">
        <f>AF106/AF3</f>
        <v>9.2931619786614933E-2</v>
      </c>
      <c r="AG107" s="21"/>
      <c r="AH107" s="21"/>
      <c r="AI107" s="21"/>
      <c r="AJ107" s="21"/>
      <c r="AK107" s="22">
        <f>AK106*(1+AN107)/(AN108-AN107)</f>
        <v>161022312414.13571</v>
      </c>
      <c r="AL107" s="23" t="s">
        <v>147</v>
      </c>
      <c r="AM107" s="43" t="s">
        <v>148</v>
      </c>
      <c r="AN107" s="44">
        <v>0.02</v>
      </c>
    </row>
    <row r="108" spans="1:40" ht="19" x14ac:dyDescent="0.25">
      <c r="AG108" s="22">
        <f t="shared" ref="AG108:AI108" si="81">AG107+AG106</f>
        <v>6332830490.7802515</v>
      </c>
      <c r="AH108" s="22">
        <f t="shared" si="81"/>
        <v>6540238425.4657602</v>
      </c>
      <c r="AI108" s="22">
        <f t="shared" si="81"/>
        <v>6754439223.3793526</v>
      </c>
      <c r="AJ108" s="22">
        <f>AJ107+AJ106</f>
        <v>6975655359.0898314</v>
      </c>
      <c r="AK108" s="22">
        <f>AK107+AK106</f>
        <v>168226429007.6156</v>
      </c>
      <c r="AL108" s="23" t="s">
        <v>143</v>
      </c>
      <c r="AM108" s="45" t="s">
        <v>149</v>
      </c>
      <c r="AN108" s="42">
        <f>AN105</f>
        <v>6.5634662769284771E-2</v>
      </c>
    </row>
    <row r="109" spans="1:40" ht="19" x14ac:dyDescent="0.25">
      <c r="AG109" s="54" t="s">
        <v>150</v>
      </c>
      <c r="AH109" s="54"/>
    </row>
    <row r="110" spans="1:40" ht="20" x14ac:dyDescent="0.25">
      <c r="AG110" s="46" t="s">
        <v>151</v>
      </c>
      <c r="AH110" s="22">
        <f>NPV(AN108,AG108,AH108,AI108,AJ108,AK108)</f>
        <v>145113321681.79599</v>
      </c>
    </row>
    <row r="111" spans="1:40" ht="20" x14ac:dyDescent="0.25">
      <c r="AG111" s="46" t="s">
        <v>152</v>
      </c>
      <c r="AH111" s="22">
        <f>AF40</f>
        <v>2547000000</v>
      </c>
    </row>
    <row r="112" spans="1:40" ht="20" x14ac:dyDescent="0.25">
      <c r="AG112" s="46" t="s">
        <v>139</v>
      </c>
      <c r="AH112" s="22">
        <f>AN99</f>
        <v>15429000000</v>
      </c>
    </row>
    <row r="113" spans="33:34" ht="20" x14ac:dyDescent="0.25">
      <c r="AG113" s="46" t="s">
        <v>153</v>
      </c>
      <c r="AH113" s="22">
        <f>AH110+AH111-AH112</f>
        <v>132231321681.79599</v>
      </c>
    </row>
    <row r="114" spans="33:34" ht="20" x14ac:dyDescent="0.25">
      <c r="AG114" s="46" t="s">
        <v>154</v>
      </c>
      <c r="AH114" s="46">
        <f>AF34*(1+(5*AL16))</f>
        <v>264580918.94763336</v>
      </c>
    </row>
    <row r="115" spans="33:34" ht="20" x14ac:dyDescent="0.25">
      <c r="AG115" s="47" t="s">
        <v>155</v>
      </c>
      <c r="AH115" s="48">
        <f>AH113/AH114</f>
        <v>499.77648504564917</v>
      </c>
    </row>
    <row r="116" spans="33:34" ht="20" x14ac:dyDescent="0.25">
      <c r="AG116" s="46" t="s">
        <v>156</v>
      </c>
      <c r="AH116" s="49" cm="1">
        <f t="array" ref="AH116">_FV(A1,"Price")</f>
        <v>454.49</v>
      </c>
    </row>
    <row r="117" spans="33:34" ht="20" x14ac:dyDescent="0.25">
      <c r="AG117" s="46" t="s">
        <v>157</v>
      </c>
      <c r="AH117" s="51">
        <f>AH115/AH116-1</f>
        <v>9.9642423476092201E-2</v>
      </c>
    </row>
    <row r="118" spans="33:34" ht="20" x14ac:dyDescent="0.25">
      <c r="AG118" s="46" t="s">
        <v>158</v>
      </c>
      <c r="AH118" s="50" t="str">
        <f>IF(AH115&gt;AH116,"BUY","SELL")</f>
        <v>BUY</v>
      </c>
    </row>
  </sheetData>
  <mergeCells count="6">
    <mergeCell ref="AG109:AH109"/>
    <mergeCell ref="AM83:AN83"/>
    <mergeCell ref="AM84:AN84"/>
    <mergeCell ref="AM93:AN93"/>
    <mergeCell ref="AM98:AN98"/>
    <mergeCell ref="AM104:AN104"/>
  </mergeCells>
  <conditionalFormatting sqref="AH117">
    <cfRule type="colorScale" priority="3">
      <colorScale>
        <cfvo type="percent" val="0"/>
        <cfvo type="percent" val="100"/>
        <color rgb="FFFF5907"/>
        <color rgb="FF00B050"/>
      </colorScale>
    </cfRule>
  </conditionalFormatting>
  <conditionalFormatting sqref="AH118">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ASDAQGS:FTNT/explorer/revenue_proj" xr:uid="{F0656187-5304-6A49-BB3A-32B14EAACEF1}"/>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2023-01-31T18:46:11Z</dcterms:created>
  <dcterms:modified xsi:type="dcterms:W3CDTF">2023-05-22T07:35:35Z</dcterms:modified>
</cp:coreProperties>
</file>