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9A59047B-6C27-5342-B9F6-B6A761019458}"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86" i="1" l="1"/>
  <c r="M87" i="1"/>
  <c r="M99" i="1"/>
  <c r="M101" i="1" a="1"/>
  <c r="M101" i="1" s="1"/>
  <c r="M85" i="1"/>
  <c r="M88" i="1"/>
  <c r="M89" i="1"/>
  <c r="M90" i="1"/>
  <c r="M91" i="1"/>
  <c r="M92" i="1"/>
  <c r="M95" i="1" a="1"/>
  <c r="M95" i="1" s="1"/>
  <c r="M97" i="1" s="1"/>
  <c r="F4" i="1"/>
  <c r="G4" i="1"/>
  <c r="H4" i="1"/>
  <c r="I4" i="1"/>
  <c r="J4" i="1"/>
  <c r="M106" i="1"/>
  <c r="F106" i="1"/>
  <c r="F108" i="1"/>
  <c r="G106" i="1"/>
  <c r="G108" i="1"/>
  <c r="H106" i="1"/>
  <c r="H108" i="1"/>
  <c r="I106" i="1"/>
  <c r="I108" i="1"/>
  <c r="J106" i="1"/>
  <c r="G111" i="1"/>
  <c r="G112" i="1"/>
  <c r="K16" i="1"/>
  <c r="G114" i="1"/>
  <c r="G116" i="1" a="1"/>
  <c r="G116" i="1" s="1"/>
  <c r="K19" i="1"/>
  <c r="N13" i="1"/>
  <c r="M13" i="1"/>
  <c r="L13" i="1"/>
  <c r="K13" i="1"/>
  <c r="N10" i="1"/>
  <c r="M10" i="1"/>
  <c r="L10" i="1"/>
  <c r="K10" i="1"/>
  <c r="N7" i="1"/>
  <c r="M7" i="1"/>
  <c r="L7" i="1"/>
  <c r="K7" i="1"/>
  <c r="N4" i="1"/>
  <c r="M4" i="1"/>
  <c r="L4" i="1"/>
  <c r="K4" i="1"/>
  <c r="E105" i="1"/>
  <c r="D105" i="1"/>
  <c r="C105" i="1"/>
  <c r="E89" i="1"/>
  <c r="D89" i="1"/>
  <c r="C89" i="1"/>
  <c r="B89" i="1"/>
  <c r="E80" i="1"/>
  <c r="D80" i="1"/>
  <c r="C80" i="1"/>
  <c r="B80" i="1"/>
  <c r="E35" i="1"/>
  <c r="D35" i="1"/>
  <c r="C35" i="1"/>
  <c r="E29" i="1"/>
  <c r="D29" i="1"/>
  <c r="C29" i="1"/>
  <c r="E20" i="1"/>
  <c r="D20" i="1"/>
  <c r="C20" i="1"/>
  <c r="E13" i="1"/>
  <c r="D13" i="1"/>
  <c r="C13" i="1"/>
  <c r="B13" i="1"/>
  <c r="E9" i="1"/>
  <c r="D9" i="1"/>
  <c r="C9" i="1"/>
  <c r="B9" i="1"/>
  <c r="E4" i="1"/>
  <c r="D4" i="1"/>
  <c r="C4" i="1"/>
  <c r="N16" i="1" l="1"/>
  <c r="M16" i="1"/>
  <c r="L16" i="1"/>
  <c r="M103" i="1"/>
  <c r="M100" i="1" s="1"/>
  <c r="M102" i="1" l="1"/>
  <c r="M105" i="1" s="1"/>
  <c r="M108" i="1" s="1"/>
  <c r="J107" i="1" l="1"/>
  <c r="J108" i="1" s="1"/>
  <c r="G110" i="1"/>
  <c r="G113" i="1" s="1"/>
  <c r="G115" i="1" s="1"/>
  <c r="G118" i="1" l="1"/>
  <c r="G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<sst xmlns="http://schemas.openxmlformats.org/spreadsheetml/2006/main" count="241" uniqueCount="160">
  <si>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</si>
  <si>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</si>
  <si>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</si>
  <si>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</si>
  <si>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</si>
  <si>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</si>
  <si>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</si>
  <si>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</si>
  <si>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</si>
  <si>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</si>
  <si>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</si>
  <si>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</si>
  <si>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</si>
  <si>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</si>
  <si>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</si>
  <si>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</si>
  <si>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</si>
  <si>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</si>
  <si>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</si>
  <si>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</si>
  <si>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</si>
  <si>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</si>
  <si>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</si>
  <si>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</si>
  <si>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</si>
  <si>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</si>
  <si>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</si>
  <si>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</si>
  <si>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</si>
  <si>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</si>
  <si>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</si>
  <si>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</si>
  <si>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</si>
  <si>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</si>
  <si>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</si>
  <si>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</si>
  <si>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</si>
  <si>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</si>
  <si>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</si>
  <si>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</si>
  <si>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</si>
  <si>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</si>
  <si>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</si>
  <si>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</si>
  <si>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</si>
  <si>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</si>
  <si>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</si>
  <si>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</si>
  <si>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</si>
  <si>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</si>
  <si>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</si>
  <si>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</si>
  <si>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</si>
  <si>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</si>
  <si>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</si>
  <si>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</si>
  <si>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</si>
  <si>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</si>
  <si>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</si>
  <si>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</si>
  <si>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</si>
  <si>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</si>
  <si>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</si>
  <si>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</si>
  <si>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</si>
  <si>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</si>
  <si>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</si>
  <si>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</si>
  <si>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</si>
  <si>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</si>
  <si>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</si>
  <si>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</si>
  <si>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</si>
  <si>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</si>
  <si>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</si>
  <si>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</si>
  <si>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</si>
  <si>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</si>
  <si>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</si>
  <si>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</si>
  <si>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</si>
  <si>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</si>
  <si>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</si>
  <si>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</si>
  <si>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</si>
  <si>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</si>
  <si>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</si>
  <si>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</si>
  <si>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</si>
  <si>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</si>
  <si>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</si>
  <si>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</si>
  <si>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</si>
  <si>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</si>
  <si>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</si>
  <si>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</si>
  <si>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</si>
  <si>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</si>
  <si>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</si>
  <si>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</si>
  <si>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</si>
  <si>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</si>
  <si>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</si>
  <si>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</si>
  <si>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</si>
  <si>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</si>
  <si>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</si>
  <si>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</si>
  <si>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</si>
  <si>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</si>
  <si>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</si>
  <si>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</si>
  <si>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</si>
  <si>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</si>
  <si>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</si>
  <si>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</si>
  <si>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</si>
  <si>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</si>
  <si>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</si>
  <si>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</si>
  <si>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</si>
  <si>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(4yr)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</si>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</sst>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ALGM</a:t>
            </a:r>
          </a:p>
        </c:rich>
      </c:tx>
      <c:layout>
        <c:manualLayout>
          <c:xMode val="edge"/>
          <c:yMode val="edge"/>
          <c:x val="0.45589052114754314"/>
          <c:y val="2.1891154422271752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2338256225434508E-2"/>
          <c:y val="0.12047431983723556"/>
          <c:w val="0.86663355140308951"/>
          <c:h val="0.7455998875373063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1'!$B$3:$E$3</c:f>
              <c:numCache>
                <c:formatCode>#,###,,;\(#,###,,\);\ \-\ \-</c:formatCode>
                <c:ptCount val="4"/>
                <c:pt idx="0">
                  <c:v>724311000</c:v>
                </c:pt>
                <c:pt idx="1">
                  <c:v>650089000</c:v>
                </c:pt>
                <c:pt idx="2">
                  <c:v>591207000</c:v>
                </c:pt>
                <c:pt idx="3">
                  <c:v>768674000</c:v>
                </c:pt>
              </c:numCache>
            </c:numRef>
          </c:val>
          <c:extLst>
            <c:ext xmlns:c16="http://schemas.microsoft.com/office/drawing/2014/chart" uri="{C3380CC4-5D6E-409C-BE32-E72D297353CC}">
              <c16:uniqueId val="{00000000-5A94-9344-9469-1458EEA2A755}"/>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1'!$B$19:$E$19</c:f>
              <c:numCache>
                <c:formatCode>#,###,,;\(#,###,,\);\ \-\ \-</c:formatCode>
                <c:ptCount val="4"/>
                <c:pt idx="0">
                  <c:v>160421000</c:v>
                </c:pt>
                <c:pt idx="1">
                  <c:v>117302000</c:v>
                </c:pt>
                <c:pt idx="2">
                  <c:v>49311000</c:v>
                </c:pt>
                <c:pt idx="3">
                  <c:v>190182000</c:v>
                </c:pt>
              </c:numCache>
            </c:numRef>
          </c:val>
          <c:extLst>
            <c:ext xmlns:c16="http://schemas.microsoft.com/office/drawing/2014/chart" uri="{C3380CC4-5D6E-409C-BE32-E72D297353CC}">
              <c16:uniqueId val="{00000001-5A94-9344-9469-1458EEA2A755}"/>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1'!$B$106:$E$106</c:f>
              <c:numCache>
                <c:formatCode>#,###,,;\(#,###,,\);\ \-\ \-</c:formatCode>
                <c:ptCount val="4"/>
                <c:pt idx="0">
                  <c:v>22791000</c:v>
                </c:pt>
                <c:pt idx="1">
                  <c:v>35804000</c:v>
                </c:pt>
                <c:pt idx="2">
                  <c:v>79897000</c:v>
                </c:pt>
                <c:pt idx="3">
                  <c:v>86188000</c:v>
                </c:pt>
              </c:numCache>
            </c:numRef>
          </c:val>
          <c:extLst>
            <c:ext xmlns:c16="http://schemas.microsoft.com/office/drawing/2014/chart" uri="{C3380CC4-5D6E-409C-BE32-E72D297353CC}">
              <c16:uniqueId val="{00000002-5A94-9344-9469-1458EEA2A755}"/>
            </c:ext>
          </c:extLst>
        </c:ser>
        <c:dLbls>
          <c:showLegendKey val="0"/>
          <c:showVal val="0"/>
          <c:showCatName val="0"/>
          <c:showSerName val="0"/>
          <c:showPercent val="0"/>
          <c:showBubbleSize val="0"/>
        </c:dLbls>
        <c:gapWidth val="100"/>
        <c:overlap val="-24"/>
        <c:axId val="1381956384"/>
        <c:axId val="1381958112"/>
      </c:barChart>
      <c:catAx>
        <c:axId val="138195638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81958112"/>
        <c:crosses val="autoZero"/>
        <c:auto val="1"/>
        <c:lblAlgn val="ctr"/>
        <c:lblOffset val="100"/>
        <c:noMultiLvlLbl val="0"/>
      </c:catAx>
      <c:valAx>
        <c:axId val="1381958112"/>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3819563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31749</xdr:colOff>
      <xdr:row>108</xdr:row>
      <xdr:rowOff>17462</xdr:rowOff>
    </xdr:from>
    <xdr:to>
      <xdr:col>12</xdr:col>
      <xdr:colOff>1587499</xdr:colOff>
      <xdr:row>131</xdr:row>
      <xdr:rowOff>31749</xdr:rowOff>
    </xdr:to>
    <xdr:graphicFrame macro="">
      <xdr:nvGraphicFramePr>
        <xdr:cNvPr id="2" name="Chart 1">
          <a:extLst>
            <a:ext uri="{FF2B5EF4-FFF2-40B4-BE49-F238E27FC236}">
              <a16:creationId xmlns:a16="http://schemas.microsoft.com/office/drawing/2014/main" id="{4459A9BF-6906-CF42-85D6-E4311FBBB9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https://www.bing.com/financeapi/forcetrigger?t=bwgccw&amp;q=XNAS%3aALGM&amp;form=skydnc</v>
    <v>Learn more on Bing</v>
  </rv>
  <rv s="1">
    <v>0</v>
    <v>ALLEGRO MICROSYSTEMS, INC (XNAS:ALGM)</v>
    <v>2</v>
    <v>3</v>
    <v>Finance</v>
    <v>4</v>
    <v>en-US</v>
    <v>bwgccw</v>
    <v>268435456</v>
    <v>1</v>
    <v>Powered by Refinitiv</v>
    <v>48.719900000000003</v>
    <v>19.202200000000001</v>
    <v>1.61</v>
    <v>0.37</v>
    <v>9.4970000000000002E-3</v>
    <v>0.33</v>
    <v>8.3909999999999992E-3</v>
    <v>USD</v>
    <v>Allegro MicroSystems, Inc. is a global designer, developer, manufacturer, and marketer of sensor integrated circuits (ICs) and application-specific analog power ICs enabling the technologies in the automotive and industrial markets. The Company is a supplier of magnetic sensor IC solutions. It focuses on providing IC solutions to sense, regulate and drive a variety of mechanical systems. This includes sensing the angular or linear position of a shaft or actuator, driving an electric motor or actuator, and regulating the power applied to sensing and driving circuits. Its sensor ICs enable its customers to measure motion, speed, position and current, while its power ICs include high-temperature and high-voltage capable motor driver, power management and light emitting diode (LED) driver ICs. Its photonics portfolio provides eye-safe distance measurement and three-dimensional (3D) imaging solutions. It sells magnetic sensor ICs, power ICs and photonics in the Americas, EMEA and Asia.</v>
    <v>4036</v>
    <v>Nasdaq Stock Market</v>
    <v>XNAS</v>
    <v>XNAS</v>
    <v>955 Perimeter Road, MANCHESTER, NH, 03103 US</v>
    <v>39.69</v>
    <v>Semiconductors &amp; Semiconductor Equipment</v>
    <v>Stock</v>
    <v>45068.84518362266</v>
    <v>0</v>
    <v>38.75</v>
    <v>7541696619</v>
    <v>ALLEGRO MICROSYSTEMS, INC</v>
    <v>ALLEGRO MICROSYSTEMS, INC</v>
    <v>38.83</v>
    <v>40.276600000000002</v>
    <v>38.96</v>
    <v>39.33</v>
    <v>39.659999999999997</v>
    <v>191754300</v>
    <v>ALGM</v>
    <v>ALLEGRO MICROSYSTEMS, INC (XNAS:ALGM)</v>
    <v>950503</v>
    <v>1968016</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866291/000086629122000011/0000866291-22-000011-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866291/000086629121000020/0000866291-21-000020-index.htm" TargetMode="External"/><Relationship Id="rId2" Type="http://schemas.openxmlformats.org/officeDocument/2006/relationships/hyperlink" Target="https://sec.gov/" TargetMode="External"/><Relationship Id="rId1" Type="http://schemas.openxmlformats.org/officeDocument/2006/relationships/hyperlink" Target="https://roic.ai/company/ALGM" TargetMode="External"/><Relationship Id="rId6" Type="http://schemas.openxmlformats.org/officeDocument/2006/relationships/hyperlink" Target="https://www.sec.gov/Archives/edgar/data/866291/000086629121000020/0000866291-21-000020-index.htm" TargetMode="External"/><Relationship Id="rId11" Type="http://schemas.openxmlformats.org/officeDocument/2006/relationships/drawing" Target="../drawings/drawing1.xml"/><Relationship Id="rId5" Type="http://schemas.openxmlformats.org/officeDocument/2006/relationships/hyperlink" Target="https://sec.gov/" TargetMode="External"/><Relationship Id="rId10" Type="http://schemas.openxmlformats.org/officeDocument/2006/relationships/hyperlink" Target="https://finbox.com/NASDAQGS:ALGM/explorer/revenue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866291/000086629122000011/0000866291-22-000011-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B2" activePane="bottomRight" state="frozen"/>
      <selection pane="topRight"/>
      <selection pane="bottomLeft"/>
      <selection pane="bottomRight" activeCell="H14" sqref="H14"/>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2019</v>
      </c>
      <c r="C1" s="8">
        <v>2020</v>
      </c>
      <c r="D1" s="8">
        <v>2021</v>
      </c>
      <c r="E1" s="8">
        <v>2022</v>
      </c>
      <c r="F1" s="28">
        <v>2023</v>
      </c>
      <c r="G1" s="28">
        <v>2024</v>
      </c>
      <c r="H1" s="28">
        <v>2025</v>
      </c>
      <c r="I1" s="28">
        <v>2026</v>
      </c>
      <c r="J1" s="28">
        <v>2027</v>
      </c>
    </row>
    <row r="2" spans="1:38" ht="21" x14ac:dyDescent="0.25">
      <c r="A2" s="4" t="s">
        <v>0</v>
      </c>
      <c r="B2" s="9" t="s">
        <v>91</v>
      </c>
      <c r="C2" s="9" t="s">
        <v>91</v>
      </c>
      <c r="D2" s="9" t="s">
        <v>91</v>
      </c>
      <c r="E2" s="9" t="s">
        <v>91</v>
      </c>
      <c r="F2" s="9" t="s">
        <v>91</v>
      </c>
      <c r="G2" s="9" t="s">
        <v>91</v>
      </c>
      <c r="H2" s="9" t="s">
        <v>91</v>
      </c>
      <c r="I2" s="9"/>
      <c r="J2" s="9"/>
      <c r="K2" s="9"/>
      <c r="L2" s="9"/>
      <c r="M2" s="9"/>
      <c r="N2" s="9"/>
    </row>
    <row r="3" spans="1:38" ht="40" x14ac:dyDescent="0.25">
      <c r="A3" s="5" t="s">
        <v>1</v>
      </c>
      <c r="B3" s="1">
        <v>724311000</v>
      </c>
      <c r="C3" s="1">
        <v>650089000</v>
      </c>
      <c r="D3" s="1">
        <v>591207000</v>
      </c>
      <c r="E3" s="1">
        <v>768674000</v>
      </c>
      <c r="F3" s="29">
        <v>969200000</v>
      </c>
      <c r="G3" s="29">
        <v>1070000000</v>
      </c>
      <c r="H3" s="29">
        <v>1169000000</v>
      </c>
      <c r="I3" s="29">
        <v>1304000000</v>
      </c>
      <c r="J3" s="29">
        <v>1455000000</v>
      </c>
      <c r="K3" s="19" t="s">
        <v>109</v>
      </c>
      <c r="L3" s="20" t="s">
        <v>110</v>
      </c>
      <c r="M3" s="20" t="s">
        <v>111</v>
      </c>
      <c r="N3" s="20" t="s">
        <v>112</v>
      </c>
    </row>
    <row r="4" spans="1:38" ht="19" x14ac:dyDescent="0.25">
      <c r="A4" s="14" t="s">
        <v>94</v>
      </c>
      <c r="B4" s="1"/>
      <c r="C4" s="15">
        <f>(C3/B3)-1</f>
        <v>-0.10247255667800159</v>
      </c>
      <c r="D4" s="15">
        <f>(D3/C3)-1</f>
        <v>-9.0575290460229274E-2</v>
      </c>
      <c r="E4" s="15">
        <f>(E3/D3)-1</f>
        <v>0.30017743362307958</v>
      </c>
      <c r="F4" s="16">
        <f t="shared" ref="F4:J4" si="0">(F3/E3)-1</f>
        <v>0.26087261960206787</v>
      </c>
      <c r="G4" s="16">
        <f t="shared" si="0"/>
        <v>0.10400330169211713</v>
      </c>
      <c r="H4" s="16">
        <f t="shared" si="0"/>
        <v>9.2523364485981308E-2</v>
      </c>
      <c r="I4" s="16">
        <f t="shared" si="0"/>
        <v>0.11548331907613352</v>
      </c>
      <c r="J4" s="16">
        <f t="shared" si="0"/>
        <v>0.11579754601226999</v>
      </c>
      <c r="K4" s="17">
        <f>(E4+D4+C4)/3</f>
        <v>3.5709862161616236E-2</v>
      </c>
      <c r="L4" s="17">
        <f>(E20+D20+C20)/3</f>
        <v>0.66945882562770398</v>
      </c>
      <c r="M4" s="17">
        <f>(E29+D29+C29)/3</f>
        <v>1.5243518778002612</v>
      </c>
      <c r="N4" s="17">
        <f>(E105+D105+C105)/3</f>
        <v>0.6270734397956651</v>
      </c>
      <c r="T4" s="16"/>
      <c r="U4" s="16"/>
      <c r="V4" s="16"/>
      <c r="W4" s="16"/>
      <c r="X4" s="16"/>
      <c r="Y4" s="16"/>
      <c r="Z4" s="16"/>
      <c r="AA4" s="16"/>
      <c r="AB4" s="16"/>
      <c r="AC4" s="16"/>
      <c r="AD4" s="16"/>
      <c r="AE4" s="16"/>
      <c r="AF4" s="16"/>
      <c r="AI4" s="18"/>
      <c r="AJ4" s="18"/>
      <c r="AK4" s="18"/>
      <c r="AL4" s="18"/>
    </row>
    <row r="5" spans="1:38" ht="19" x14ac:dyDescent="0.25">
      <c r="A5" s="5" t="s">
        <v>2</v>
      </c>
      <c r="B5" s="1">
        <v>404491000</v>
      </c>
      <c r="C5" s="1">
        <v>388813000</v>
      </c>
      <c r="D5" s="1">
        <v>312305000</v>
      </c>
      <c r="E5" s="1">
        <v>361214000</v>
      </c>
    </row>
    <row r="6" spans="1:38" ht="20" x14ac:dyDescent="0.25">
      <c r="A6" s="6" t="s">
        <v>3</v>
      </c>
      <c r="B6" s="10">
        <v>319820000</v>
      </c>
      <c r="C6" s="10">
        <v>261276000</v>
      </c>
      <c r="D6" s="10">
        <v>278902000</v>
      </c>
      <c r="E6" s="10">
        <v>407460000</v>
      </c>
      <c r="K6" s="19" t="s">
        <v>113</v>
      </c>
      <c r="L6" s="20" t="s">
        <v>114</v>
      </c>
      <c r="M6" s="20" t="s">
        <v>115</v>
      </c>
      <c r="N6" s="20" t="s">
        <v>116</v>
      </c>
    </row>
    <row r="7" spans="1:38" ht="19" x14ac:dyDescent="0.25">
      <c r="A7" s="5" t="s">
        <v>4</v>
      </c>
      <c r="B7" s="2">
        <v>0.44159999999999999</v>
      </c>
      <c r="C7" s="2">
        <v>0.40189999999999998</v>
      </c>
      <c r="D7" s="2">
        <v>0.4718</v>
      </c>
      <c r="E7" s="2">
        <v>0.53010000000000002</v>
      </c>
      <c r="K7" s="17">
        <f>E7</f>
        <v>0.53010000000000002</v>
      </c>
      <c r="L7" s="21">
        <f>E21</f>
        <v>0.24740000000000001</v>
      </c>
      <c r="M7" s="21">
        <f>E30</f>
        <v>0.15529999999999999</v>
      </c>
      <c r="N7" s="21">
        <f>E106/E3</f>
        <v>0.11212555647777861</v>
      </c>
    </row>
    <row r="8" spans="1:38" ht="19" x14ac:dyDescent="0.25">
      <c r="A8" s="5" t="s">
        <v>5</v>
      </c>
      <c r="B8" s="1">
        <v>107585000</v>
      </c>
      <c r="C8" s="1">
        <v>102052000</v>
      </c>
      <c r="D8" s="1">
        <v>108649000</v>
      </c>
      <c r="E8" s="1">
        <v>121873000</v>
      </c>
    </row>
    <row r="9" spans="1:38" ht="19" customHeight="1" x14ac:dyDescent="0.25">
      <c r="A9" s="14" t="s">
        <v>95</v>
      </c>
      <c r="B9" s="15">
        <f>B8/B3</f>
        <v>0.14853426221609226</v>
      </c>
      <c r="C9" s="15">
        <f t="shared" ref="C9:E9" si="1">C8/C3</f>
        <v>0.1569815825217778</v>
      </c>
      <c r="D9" s="15">
        <f t="shared" si="1"/>
        <v>0.18377488764510569</v>
      </c>
      <c r="E9" s="15">
        <f t="shared" si="1"/>
        <v>0.15854965824263603</v>
      </c>
      <c r="F9" s="15"/>
      <c r="G9" s="15"/>
      <c r="K9" s="19" t="s">
        <v>96</v>
      </c>
      <c r="L9" s="20" t="s">
        <v>97</v>
      </c>
      <c r="M9" s="20" t="s">
        <v>98</v>
      </c>
      <c r="N9" s="20" t="s">
        <v>99</v>
      </c>
    </row>
    <row r="10" spans="1:38" ht="19" x14ac:dyDescent="0.25">
      <c r="A10" s="5" t="s">
        <v>6</v>
      </c>
      <c r="B10" s="1">
        <v>112236000</v>
      </c>
      <c r="C10" s="1">
        <v>106396000</v>
      </c>
      <c r="D10" s="1" t="s">
        <v>92</v>
      </c>
      <c r="E10" s="1" t="s">
        <v>92</v>
      </c>
      <c r="K10" s="17">
        <f>E9</f>
        <v>0.15854965824263603</v>
      </c>
      <c r="L10" s="21">
        <f>E13</f>
        <v>0.19636022553123952</v>
      </c>
      <c r="M10" s="21">
        <f>E80</f>
        <v>4.3643989519614297E-2</v>
      </c>
      <c r="N10" s="21">
        <f>E89</f>
        <v>9.0989157952526045E-2</v>
      </c>
    </row>
    <row r="11" spans="1:38" ht="19" x14ac:dyDescent="0.25">
      <c r="A11" s="5" t="s">
        <v>7</v>
      </c>
      <c r="B11" s="1" t="s">
        <v>92</v>
      </c>
      <c r="C11" s="1" t="s">
        <v>92</v>
      </c>
      <c r="D11" s="1" t="s">
        <v>92</v>
      </c>
      <c r="E11" s="1" t="s">
        <v>92</v>
      </c>
    </row>
    <row r="12" spans="1:38" ht="20" x14ac:dyDescent="0.25">
      <c r="A12" s="5" t="s">
        <v>8</v>
      </c>
      <c r="B12" s="1">
        <v>112236000</v>
      </c>
      <c r="C12" s="1">
        <v>106396000</v>
      </c>
      <c r="D12" s="1" t="s">
        <v>92</v>
      </c>
      <c r="E12" s="1">
        <v>150937000</v>
      </c>
      <c r="K12" s="19" t="s">
        <v>117</v>
      </c>
      <c r="L12" s="20" t="s">
        <v>118</v>
      </c>
      <c r="M12" s="20" t="s">
        <v>119</v>
      </c>
      <c r="N12" s="20" t="s">
        <v>120</v>
      </c>
    </row>
    <row r="13" spans="1:38" ht="19" x14ac:dyDescent="0.25">
      <c r="A13" s="14" t="s">
        <v>100</v>
      </c>
      <c r="B13" s="15">
        <f>B12/B3</f>
        <v>0.15495553705521523</v>
      </c>
      <c r="C13" s="15">
        <f t="shared" ref="C13:E13" si="2">C12/C3</f>
        <v>0.16366374450267579</v>
      </c>
      <c r="D13" s="15" t="e">
        <f t="shared" si="2"/>
        <v>#VALUE!</v>
      </c>
      <c r="E13" s="15">
        <f t="shared" si="2"/>
        <v>0.19636022553123952</v>
      </c>
      <c r="F13" s="15"/>
      <c r="G13" s="15"/>
      <c r="K13" s="17">
        <f>E28/E72</f>
        <v>0.16263397107355282</v>
      </c>
      <c r="L13" s="21">
        <f>E28/E54</f>
        <v>0.1337713696757859</v>
      </c>
      <c r="M13" s="21">
        <f>E22/(E72+E56+E61)</f>
        <v>0.17617232270283023</v>
      </c>
      <c r="N13" s="22">
        <f>E67/E72</f>
        <v>0.21418618999818853</v>
      </c>
    </row>
    <row r="14" spans="1:38" ht="19" x14ac:dyDescent="0.25">
      <c r="A14" s="5" t="s">
        <v>9</v>
      </c>
      <c r="B14" s="1" t="s">
        <v>92</v>
      </c>
      <c r="C14" s="1" t="s">
        <v>92</v>
      </c>
      <c r="D14" s="1">
        <v>153476000</v>
      </c>
      <c r="E14" s="1" t="s">
        <v>92</v>
      </c>
    </row>
    <row r="15" spans="1:38" ht="20" x14ac:dyDescent="0.25">
      <c r="A15" s="5" t="s">
        <v>10</v>
      </c>
      <c r="B15" s="1">
        <v>219821000</v>
      </c>
      <c r="C15" s="1">
        <v>208448000</v>
      </c>
      <c r="D15" s="1">
        <v>262125000</v>
      </c>
      <c r="E15" s="1">
        <v>272810000</v>
      </c>
      <c r="K15" s="19" t="s">
        <v>121</v>
      </c>
      <c r="L15" s="20" t="s">
        <v>122</v>
      </c>
      <c r="M15" s="20" t="s">
        <v>123</v>
      </c>
      <c r="N15" s="20" t="s">
        <v>124</v>
      </c>
    </row>
    <row r="16" spans="1:38" ht="19" x14ac:dyDescent="0.25">
      <c r="A16" s="5" t="s">
        <v>11</v>
      </c>
      <c r="B16" s="1">
        <v>624312000</v>
      </c>
      <c r="C16" s="1">
        <v>597261000</v>
      </c>
      <c r="D16" s="1">
        <v>574430000</v>
      </c>
      <c r="E16" s="1">
        <v>634024000</v>
      </c>
      <c r="K16" s="30">
        <f>(E35+D35+C35+B35)/4</f>
        <v>6.7246812404317732E-3</v>
      </c>
      <c r="L16" s="31">
        <f>M101/E3</f>
        <v>9.8113070287273931</v>
      </c>
      <c r="M16" s="31">
        <f>M101/E28</f>
        <v>63.159585443064479</v>
      </c>
      <c r="N16" s="32">
        <f>M101/E106</f>
        <v>87.502861407620557</v>
      </c>
    </row>
    <row r="17" spans="1:11" ht="19" x14ac:dyDescent="0.25">
      <c r="A17" s="5" t="s">
        <v>12</v>
      </c>
      <c r="B17" s="1">
        <v>1211000</v>
      </c>
      <c r="C17" s="1">
        <v>110000</v>
      </c>
      <c r="D17" s="1">
        <v>2603000</v>
      </c>
      <c r="E17" s="1">
        <v>1057000</v>
      </c>
    </row>
    <row r="18" spans="1:11" ht="20" x14ac:dyDescent="0.25">
      <c r="A18" s="5" t="s">
        <v>13</v>
      </c>
      <c r="B18" s="1">
        <v>59886000</v>
      </c>
      <c r="C18" s="1">
        <v>64048000</v>
      </c>
      <c r="D18" s="1">
        <v>48307000</v>
      </c>
      <c r="E18" s="1">
        <v>48527000</v>
      </c>
      <c r="K18" s="19" t="s">
        <v>125</v>
      </c>
    </row>
    <row r="19" spans="1:11" ht="19" x14ac:dyDescent="0.25">
      <c r="A19" s="6" t="s">
        <v>14</v>
      </c>
      <c r="B19" s="10">
        <v>160421000</v>
      </c>
      <c r="C19" s="10">
        <v>117302000</v>
      </c>
      <c r="D19" s="10">
        <v>49311000</v>
      </c>
      <c r="E19" s="10">
        <v>190182000</v>
      </c>
      <c r="K19" s="33">
        <f>E40-E56-E61</f>
        <v>240929000</v>
      </c>
    </row>
    <row r="20" spans="1:11" ht="19" customHeight="1" x14ac:dyDescent="0.25">
      <c r="A20" s="14" t="s">
        <v>101</v>
      </c>
      <c r="B20" s="1"/>
      <c r="C20" s="15">
        <f>(C19/B19)-1</f>
        <v>-0.2687865055073837</v>
      </c>
      <c r="D20" s="15">
        <f>(D19/C19)-1</f>
        <v>-0.57962353583059112</v>
      </c>
      <c r="E20" s="15">
        <f>(E19/D19)-1</f>
        <v>2.8567865182210865</v>
      </c>
    </row>
    <row r="21" spans="1:11" ht="19" x14ac:dyDescent="0.25">
      <c r="A21" s="5" t="s">
        <v>15</v>
      </c>
      <c r="B21" s="2">
        <v>0.2215</v>
      </c>
      <c r="C21" s="2">
        <v>0.1804</v>
      </c>
      <c r="D21" s="2">
        <v>8.3400000000000002E-2</v>
      </c>
      <c r="E21" s="2">
        <v>0.24740000000000001</v>
      </c>
    </row>
    <row r="22" spans="1:11" ht="19" x14ac:dyDescent="0.25">
      <c r="A22" s="6" t="s">
        <v>16</v>
      </c>
      <c r="B22" s="10">
        <v>99999000</v>
      </c>
      <c r="C22" s="10">
        <v>52828000</v>
      </c>
      <c r="D22" s="10">
        <v>12158000</v>
      </c>
      <c r="E22" s="10">
        <v>136650000</v>
      </c>
    </row>
    <row r="23" spans="1:11" ht="19" x14ac:dyDescent="0.25">
      <c r="A23" s="5" t="s">
        <v>17</v>
      </c>
      <c r="B23" s="2">
        <v>0.1381</v>
      </c>
      <c r="C23" s="2">
        <v>8.1299999999999997E-2</v>
      </c>
      <c r="D23" s="2">
        <v>2.06E-2</v>
      </c>
      <c r="E23" s="2">
        <v>0.17780000000000001</v>
      </c>
    </row>
    <row r="24" spans="1:11" ht="19" x14ac:dyDescent="0.25">
      <c r="A24" s="5" t="s">
        <v>18</v>
      </c>
      <c r="B24" s="1">
        <v>-557000</v>
      </c>
      <c r="C24" s="1">
        <v>450000</v>
      </c>
      <c r="D24" s="1">
        <v>-13609000</v>
      </c>
      <c r="E24" s="1">
        <v>4096000</v>
      </c>
    </row>
    <row r="25" spans="1:11" ht="19" x14ac:dyDescent="0.25">
      <c r="A25" s="6" t="s">
        <v>19</v>
      </c>
      <c r="B25" s="10">
        <v>99442000</v>
      </c>
      <c r="C25" s="10">
        <v>53278000</v>
      </c>
      <c r="D25" s="10">
        <v>-1451000</v>
      </c>
      <c r="E25" s="10">
        <v>140746000</v>
      </c>
    </row>
    <row r="26" spans="1:11" ht="19" x14ac:dyDescent="0.25">
      <c r="A26" s="5" t="s">
        <v>20</v>
      </c>
      <c r="B26" s="2">
        <v>0.13730000000000001</v>
      </c>
      <c r="C26" s="2">
        <v>8.2000000000000003E-2</v>
      </c>
      <c r="D26" s="2">
        <v>-2.5000000000000001E-3</v>
      </c>
      <c r="E26" s="2">
        <v>0.18310000000000001</v>
      </c>
    </row>
    <row r="27" spans="1:11" ht="19" x14ac:dyDescent="0.25">
      <c r="A27" s="5" t="s">
        <v>21</v>
      </c>
      <c r="B27" s="1">
        <v>14600000</v>
      </c>
      <c r="C27" s="1">
        <v>16173000</v>
      </c>
      <c r="D27" s="1">
        <v>-19552000</v>
      </c>
      <c r="E27" s="1">
        <v>21191000</v>
      </c>
    </row>
    <row r="28" spans="1:11" ht="20" thickBot="1" x14ac:dyDescent="0.3">
      <c r="A28" s="7" t="s">
        <v>22</v>
      </c>
      <c r="B28" s="11">
        <v>84724000</v>
      </c>
      <c r="C28" s="11">
        <v>36971000</v>
      </c>
      <c r="D28" s="11">
        <v>17953000</v>
      </c>
      <c r="E28" s="11">
        <v>119407000</v>
      </c>
    </row>
    <row r="29" spans="1:11" ht="20" customHeight="1" thickTop="1" x14ac:dyDescent="0.25">
      <c r="A29" s="14" t="s">
        <v>102</v>
      </c>
      <c r="B29" s="1"/>
      <c r="C29" s="15">
        <f>(C28/B28)-1</f>
        <v>-0.56363014022000857</v>
      </c>
      <c r="D29" s="15">
        <f>(D28/C28)-1</f>
        <v>-0.51440318087149395</v>
      </c>
      <c r="E29" s="15">
        <f>(E28/D28)-1</f>
        <v>5.6510889544922858</v>
      </c>
    </row>
    <row r="30" spans="1:11" ht="19" x14ac:dyDescent="0.25">
      <c r="A30" s="5" t="s">
        <v>23</v>
      </c>
      <c r="B30" s="2">
        <v>0.11700000000000001</v>
      </c>
      <c r="C30" s="2">
        <v>5.6899999999999999E-2</v>
      </c>
      <c r="D30" s="2">
        <v>3.04E-2</v>
      </c>
      <c r="E30" s="2">
        <v>0.15529999999999999</v>
      </c>
    </row>
    <row r="31" spans="1:11" ht="19" x14ac:dyDescent="0.25">
      <c r="A31" s="5" t="s">
        <v>24</v>
      </c>
      <c r="B31" s="12">
        <v>0.45</v>
      </c>
      <c r="C31" s="12">
        <v>0.18</v>
      </c>
      <c r="D31" s="12">
        <v>0.22</v>
      </c>
      <c r="E31" s="12">
        <v>0.63</v>
      </c>
    </row>
    <row r="32" spans="1:11" ht="19" x14ac:dyDescent="0.25">
      <c r="A32" s="5" t="s">
        <v>25</v>
      </c>
      <c r="B32" s="12">
        <v>0.45</v>
      </c>
      <c r="C32" s="12">
        <v>0.18</v>
      </c>
      <c r="D32" s="12">
        <v>0.1</v>
      </c>
      <c r="E32" s="12">
        <v>0.62</v>
      </c>
    </row>
    <row r="33" spans="1:5" ht="19" x14ac:dyDescent="0.25">
      <c r="A33" s="5" t="s">
        <v>26</v>
      </c>
      <c r="B33" s="1">
        <v>187749943</v>
      </c>
      <c r="C33" s="1">
        <v>187749943</v>
      </c>
      <c r="D33" s="1">
        <v>83448055</v>
      </c>
      <c r="E33" s="1">
        <v>189748427</v>
      </c>
    </row>
    <row r="34" spans="1:5" ht="19" x14ac:dyDescent="0.25">
      <c r="A34" s="5" t="s">
        <v>27</v>
      </c>
      <c r="B34" s="1">
        <v>187749943</v>
      </c>
      <c r="C34" s="1">
        <v>187749943</v>
      </c>
      <c r="D34" s="1">
        <v>176416645</v>
      </c>
      <c r="E34" s="1">
        <v>191811205</v>
      </c>
    </row>
    <row r="35" spans="1:5" ht="20" customHeight="1" x14ac:dyDescent="0.25">
      <c r="A35" s="14" t="s">
        <v>103</v>
      </c>
      <c r="B35" s="1"/>
      <c r="C35" s="23">
        <f>(C34-B34)/B34</f>
        <v>0</v>
      </c>
      <c r="D35" s="23">
        <f t="shared" ref="D35:E35" si="3">(D34-C34)/C34</f>
        <v>-6.0363789298194352E-2</v>
      </c>
      <c r="E35" s="23">
        <f t="shared" si="3"/>
        <v>8.7262514259921445E-2</v>
      </c>
    </row>
    <row r="36" spans="1:5" ht="19" x14ac:dyDescent="0.25">
      <c r="A36" s="5" t="s">
        <v>28</v>
      </c>
      <c r="B36" s="13" t="s">
        <v>93</v>
      </c>
      <c r="C36" s="13" t="s">
        <v>93</v>
      </c>
      <c r="D36" s="13" t="s">
        <v>93</v>
      </c>
      <c r="E36" s="13" t="s">
        <v>93</v>
      </c>
    </row>
    <row r="37" spans="1:5" ht="21" x14ac:dyDescent="0.25">
      <c r="A37" s="4" t="s">
        <v>29</v>
      </c>
      <c r="B37" s="9" t="s">
        <v>91</v>
      </c>
      <c r="C37" s="9" t="s">
        <v>91</v>
      </c>
      <c r="D37" s="9" t="s">
        <v>91</v>
      </c>
      <c r="E37" s="9" t="s">
        <v>91</v>
      </c>
    </row>
    <row r="38" spans="1:5" ht="19" x14ac:dyDescent="0.25">
      <c r="A38" s="5" t="s">
        <v>30</v>
      </c>
      <c r="B38" s="1">
        <v>99743000</v>
      </c>
      <c r="C38" s="1">
        <v>214491000</v>
      </c>
      <c r="D38" s="1">
        <v>197214000</v>
      </c>
      <c r="E38" s="1">
        <v>282383000</v>
      </c>
    </row>
    <row r="39" spans="1:5" ht="19" x14ac:dyDescent="0.25">
      <c r="A39" s="5" t="s">
        <v>31</v>
      </c>
      <c r="B39" s="1" t="s">
        <v>92</v>
      </c>
      <c r="C39" s="1" t="s">
        <v>92</v>
      </c>
      <c r="D39" s="1" t="s">
        <v>92</v>
      </c>
      <c r="E39" s="1" t="s">
        <v>92</v>
      </c>
    </row>
    <row r="40" spans="1:5" ht="19" x14ac:dyDescent="0.25">
      <c r="A40" s="5" t="s">
        <v>32</v>
      </c>
      <c r="B40" s="1">
        <v>99743000</v>
      </c>
      <c r="C40" s="1">
        <v>214491000</v>
      </c>
      <c r="D40" s="1">
        <v>197214000</v>
      </c>
      <c r="E40" s="1">
        <v>282383000</v>
      </c>
    </row>
    <row r="41" spans="1:5" ht="19" x14ac:dyDescent="0.25">
      <c r="A41" s="5" t="s">
        <v>33</v>
      </c>
      <c r="B41" s="1">
        <v>115939000</v>
      </c>
      <c r="C41" s="1">
        <v>92104000</v>
      </c>
      <c r="D41" s="1">
        <v>94848000</v>
      </c>
      <c r="E41" s="1">
        <v>120738000</v>
      </c>
    </row>
    <row r="42" spans="1:5" ht="19" x14ac:dyDescent="0.25">
      <c r="A42" s="5" t="s">
        <v>34</v>
      </c>
      <c r="B42" s="1">
        <v>130917000</v>
      </c>
      <c r="C42" s="1">
        <v>127227000</v>
      </c>
      <c r="D42" s="1">
        <v>87498000</v>
      </c>
      <c r="E42" s="1">
        <v>86160000</v>
      </c>
    </row>
    <row r="43" spans="1:5" ht="19" x14ac:dyDescent="0.25">
      <c r="A43" s="5" t="s">
        <v>35</v>
      </c>
      <c r="B43" s="1">
        <v>20449000</v>
      </c>
      <c r="C43" s="1">
        <v>14399000</v>
      </c>
      <c r="D43" s="1">
        <v>51004000</v>
      </c>
      <c r="E43" s="1">
        <v>22411000</v>
      </c>
    </row>
    <row r="44" spans="1:5" ht="19" x14ac:dyDescent="0.25">
      <c r="A44" s="6" t="s">
        <v>36</v>
      </c>
      <c r="B44" s="10">
        <v>367048000</v>
      </c>
      <c r="C44" s="10">
        <v>448221000</v>
      </c>
      <c r="D44" s="10">
        <v>430564000</v>
      </c>
      <c r="E44" s="10">
        <v>511692000</v>
      </c>
    </row>
    <row r="45" spans="1:5" ht="19" x14ac:dyDescent="0.25">
      <c r="A45" s="5" t="s">
        <v>37</v>
      </c>
      <c r="B45" s="1">
        <v>347404000</v>
      </c>
      <c r="C45" s="1">
        <v>332330000</v>
      </c>
      <c r="D45" s="1">
        <v>192393000</v>
      </c>
      <c r="E45" s="1">
        <v>226077000</v>
      </c>
    </row>
    <row r="46" spans="1:5" ht="19" x14ac:dyDescent="0.25">
      <c r="A46" s="5" t="s">
        <v>38</v>
      </c>
      <c r="B46" s="1">
        <v>1336000</v>
      </c>
      <c r="C46" s="1">
        <v>1285000</v>
      </c>
      <c r="D46" s="1">
        <v>20106000</v>
      </c>
      <c r="E46" s="1">
        <v>20009000</v>
      </c>
    </row>
    <row r="47" spans="1:5" ht="19" x14ac:dyDescent="0.25">
      <c r="A47" s="5" t="s">
        <v>39</v>
      </c>
      <c r="B47" s="1">
        <v>17715000</v>
      </c>
      <c r="C47" s="1">
        <v>19958000</v>
      </c>
      <c r="D47" s="1">
        <v>36366000</v>
      </c>
      <c r="E47" s="1">
        <v>35970000</v>
      </c>
    </row>
    <row r="48" spans="1:5" ht="19" x14ac:dyDescent="0.25">
      <c r="A48" s="5" t="s">
        <v>40</v>
      </c>
      <c r="B48" s="1">
        <v>19051000</v>
      </c>
      <c r="C48" s="1">
        <v>21243000</v>
      </c>
      <c r="D48" s="1">
        <v>56472000</v>
      </c>
      <c r="E48" s="1">
        <v>55979000</v>
      </c>
    </row>
    <row r="49" spans="1:5" ht="19" x14ac:dyDescent="0.25">
      <c r="A49" s="5" t="s">
        <v>41</v>
      </c>
      <c r="B49" s="1" t="s">
        <v>92</v>
      </c>
      <c r="C49" s="1" t="s">
        <v>92</v>
      </c>
      <c r="D49" s="1">
        <v>26664000</v>
      </c>
      <c r="E49" s="1">
        <v>40017000</v>
      </c>
    </row>
    <row r="50" spans="1:5" ht="19" x14ac:dyDescent="0.25">
      <c r="A50" s="5" t="s">
        <v>42</v>
      </c>
      <c r="B50" s="1">
        <v>5176000</v>
      </c>
      <c r="C50" s="1">
        <v>7217000</v>
      </c>
      <c r="D50" s="1">
        <v>26972000</v>
      </c>
      <c r="E50" s="1">
        <v>17967000</v>
      </c>
    </row>
    <row r="51" spans="1:5" ht="19" x14ac:dyDescent="0.25">
      <c r="A51" s="5" t="s">
        <v>43</v>
      </c>
      <c r="B51" s="1">
        <v>13582000</v>
      </c>
      <c r="C51" s="1">
        <v>8810000</v>
      </c>
      <c r="D51" s="1">
        <v>14613000</v>
      </c>
      <c r="E51" s="1">
        <v>40888000</v>
      </c>
    </row>
    <row r="52" spans="1:5" ht="19" x14ac:dyDescent="0.25">
      <c r="A52" s="5" t="s">
        <v>44</v>
      </c>
      <c r="B52" s="1">
        <v>385213000</v>
      </c>
      <c r="C52" s="1">
        <v>369600000</v>
      </c>
      <c r="D52" s="1">
        <v>317114000</v>
      </c>
      <c r="E52" s="1">
        <v>380928000</v>
      </c>
    </row>
    <row r="53" spans="1:5" ht="19" x14ac:dyDescent="0.25">
      <c r="A53" s="5" t="s">
        <v>45</v>
      </c>
      <c r="B53" s="1" t="s">
        <v>92</v>
      </c>
      <c r="C53" s="1" t="s">
        <v>92</v>
      </c>
      <c r="D53" s="1" t="s">
        <v>92</v>
      </c>
      <c r="E53" s="1" t="s">
        <v>92</v>
      </c>
    </row>
    <row r="54" spans="1:5" ht="20" thickBot="1" x14ac:dyDescent="0.3">
      <c r="A54" s="7" t="s">
        <v>46</v>
      </c>
      <c r="B54" s="11">
        <v>752261000</v>
      </c>
      <c r="C54" s="11">
        <v>817821000</v>
      </c>
      <c r="D54" s="11">
        <v>747678000</v>
      </c>
      <c r="E54" s="11">
        <v>892620000</v>
      </c>
    </row>
    <row r="55" spans="1:5" ht="20" thickTop="1" x14ac:dyDescent="0.25">
      <c r="A55" s="5" t="s">
        <v>47</v>
      </c>
      <c r="B55" s="1">
        <v>24189000</v>
      </c>
      <c r="C55" s="1">
        <v>20762000</v>
      </c>
      <c r="D55" s="1">
        <v>35389000</v>
      </c>
      <c r="E55" s="1">
        <v>29836000</v>
      </c>
    </row>
    <row r="56" spans="1:5" ht="19" x14ac:dyDescent="0.25">
      <c r="A56" s="5" t="s">
        <v>48</v>
      </c>
      <c r="B56" s="1">
        <v>13000000</v>
      </c>
      <c r="C56" s="1">
        <v>68000000</v>
      </c>
      <c r="D56" s="1" t="s">
        <v>92</v>
      </c>
      <c r="E56" s="1">
        <v>3706000</v>
      </c>
    </row>
    <row r="57" spans="1:5" ht="19" x14ac:dyDescent="0.25">
      <c r="A57" s="5" t="s">
        <v>49</v>
      </c>
      <c r="B57" s="1">
        <v>1656000</v>
      </c>
      <c r="C57" s="1">
        <v>3408000</v>
      </c>
      <c r="D57" s="1">
        <v>514000</v>
      </c>
      <c r="E57" s="1">
        <v>1831000</v>
      </c>
    </row>
    <row r="58" spans="1:5" ht="19" x14ac:dyDescent="0.25">
      <c r="A58" s="5" t="s">
        <v>50</v>
      </c>
      <c r="B58" s="1" t="s">
        <v>92</v>
      </c>
      <c r="C58" s="1" t="s">
        <v>92</v>
      </c>
      <c r="D58" s="1" t="s">
        <v>92</v>
      </c>
      <c r="E58" s="1" t="s">
        <v>92</v>
      </c>
    </row>
    <row r="59" spans="1:5" ht="19" x14ac:dyDescent="0.25">
      <c r="A59" s="5" t="s">
        <v>51</v>
      </c>
      <c r="B59" s="1">
        <v>65017000</v>
      </c>
      <c r="C59" s="1">
        <v>57941000</v>
      </c>
      <c r="D59" s="1">
        <v>80771000</v>
      </c>
      <c r="E59" s="1">
        <v>68850000</v>
      </c>
    </row>
    <row r="60" spans="1:5" ht="19" x14ac:dyDescent="0.25">
      <c r="A60" s="6" t="s">
        <v>52</v>
      </c>
      <c r="B60" s="10">
        <v>103862000</v>
      </c>
      <c r="C60" s="10">
        <v>150111000</v>
      </c>
      <c r="D60" s="10">
        <v>116674000</v>
      </c>
      <c r="E60" s="10">
        <v>104223000</v>
      </c>
    </row>
    <row r="61" spans="1:5" ht="19" x14ac:dyDescent="0.25">
      <c r="A61" s="5" t="s">
        <v>53</v>
      </c>
      <c r="B61" s="1">
        <v>29700000</v>
      </c>
      <c r="C61" s="1">
        <v>17700000</v>
      </c>
      <c r="D61" s="1">
        <v>25000000</v>
      </c>
      <c r="E61" s="1">
        <v>37748000</v>
      </c>
    </row>
    <row r="62" spans="1:5" ht="19" x14ac:dyDescent="0.25">
      <c r="A62" s="5" t="s">
        <v>50</v>
      </c>
      <c r="B62" s="1" t="s">
        <v>92</v>
      </c>
      <c r="C62" s="1" t="s">
        <v>92</v>
      </c>
      <c r="D62" s="1" t="s">
        <v>92</v>
      </c>
      <c r="E62" s="1" t="s">
        <v>92</v>
      </c>
    </row>
    <row r="63" spans="1:5" ht="19" x14ac:dyDescent="0.25">
      <c r="A63" s="5" t="s">
        <v>54</v>
      </c>
      <c r="B63" s="1">
        <v>9293000</v>
      </c>
      <c r="C63" s="1">
        <v>2855000</v>
      </c>
      <c r="D63" s="1">
        <v>2774000</v>
      </c>
      <c r="E63" s="1">
        <v>2757000</v>
      </c>
    </row>
    <row r="64" spans="1:5" ht="19" x14ac:dyDescent="0.25">
      <c r="A64" s="5" t="s">
        <v>55</v>
      </c>
      <c r="B64" s="1">
        <v>19617000</v>
      </c>
      <c r="C64" s="1">
        <v>13023000</v>
      </c>
      <c r="D64" s="1">
        <v>16359000</v>
      </c>
      <c r="E64" s="1">
        <v>12529000</v>
      </c>
    </row>
    <row r="65" spans="1:5" ht="19" x14ac:dyDescent="0.25">
      <c r="A65" s="5" t="s">
        <v>56</v>
      </c>
      <c r="B65" s="1">
        <v>58610000</v>
      </c>
      <c r="C65" s="1">
        <v>33578000</v>
      </c>
      <c r="D65" s="1">
        <v>44133000</v>
      </c>
      <c r="E65" s="1">
        <v>53034000</v>
      </c>
    </row>
    <row r="66" spans="1:5" ht="19" x14ac:dyDescent="0.25">
      <c r="A66" s="5" t="s">
        <v>57</v>
      </c>
      <c r="B66" s="1" t="s">
        <v>92</v>
      </c>
      <c r="C66" s="1" t="s">
        <v>92</v>
      </c>
      <c r="D66" s="1" t="s">
        <v>92</v>
      </c>
      <c r="E66" s="1" t="s">
        <v>92</v>
      </c>
    </row>
    <row r="67" spans="1:5" ht="19" x14ac:dyDescent="0.25">
      <c r="A67" s="6" t="s">
        <v>58</v>
      </c>
      <c r="B67" s="10">
        <v>162472000</v>
      </c>
      <c r="C67" s="10">
        <v>183689000</v>
      </c>
      <c r="D67" s="10">
        <v>160807000</v>
      </c>
      <c r="E67" s="10">
        <v>157257000</v>
      </c>
    </row>
    <row r="68" spans="1:5" ht="19" x14ac:dyDescent="0.25">
      <c r="A68" s="5" t="s">
        <v>59</v>
      </c>
      <c r="B68" s="1">
        <v>106000</v>
      </c>
      <c r="C68" s="1">
        <v>106000</v>
      </c>
      <c r="D68" s="1">
        <v>1896000</v>
      </c>
      <c r="E68" s="1">
        <v>1905000</v>
      </c>
    </row>
    <row r="69" spans="1:5" ht="19" x14ac:dyDescent="0.25">
      <c r="A69" s="5" t="s">
        <v>60</v>
      </c>
      <c r="B69" s="1">
        <v>157385000</v>
      </c>
      <c r="C69" s="1">
        <v>194355000</v>
      </c>
      <c r="D69" s="1">
        <v>3551000</v>
      </c>
      <c r="E69" s="1">
        <v>122958000</v>
      </c>
    </row>
    <row r="70" spans="1:5" ht="19" x14ac:dyDescent="0.25">
      <c r="A70" s="5" t="s">
        <v>61</v>
      </c>
      <c r="B70" s="1">
        <v>-16278000</v>
      </c>
      <c r="C70" s="1">
        <v>-19976000</v>
      </c>
      <c r="D70" s="1">
        <v>-11865000</v>
      </c>
      <c r="E70" s="1">
        <v>-18448000</v>
      </c>
    </row>
    <row r="71" spans="1:5" ht="19" x14ac:dyDescent="0.25">
      <c r="A71" s="5" t="s">
        <v>62</v>
      </c>
      <c r="B71" s="1">
        <v>447762000</v>
      </c>
      <c r="C71" s="1">
        <v>458697000</v>
      </c>
      <c r="D71" s="1">
        <v>592170000</v>
      </c>
      <c r="E71" s="1">
        <v>627792000</v>
      </c>
    </row>
    <row r="72" spans="1:5" ht="19" x14ac:dyDescent="0.25">
      <c r="A72" s="6" t="s">
        <v>63</v>
      </c>
      <c r="B72" s="10">
        <v>588975000</v>
      </c>
      <c r="C72" s="10">
        <v>633182000</v>
      </c>
      <c r="D72" s="10">
        <v>585752000</v>
      </c>
      <c r="E72" s="10">
        <v>734207000</v>
      </c>
    </row>
    <row r="73" spans="1:5" ht="20" thickBot="1" x14ac:dyDescent="0.3">
      <c r="A73" s="7" t="s">
        <v>64</v>
      </c>
      <c r="B73" s="11">
        <v>751447000</v>
      </c>
      <c r="C73" s="11">
        <v>816871000</v>
      </c>
      <c r="D73" s="11">
        <v>746559000</v>
      </c>
      <c r="E73" s="11">
        <v>891464000</v>
      </c>
    </row>
    <row r="74" spans="1:5" ht="20" thickTop="1" x14ac:dyDescent="0.25">
      <c r="A74" s="5" t="s">
        <v>28</v>
      </c>
      <c r="B74" s="13" t="s">
        <v>93</v>
      </c>
      <c r="C74" s="13" t="s">
        <v>93</v>
      </c>
      <c r="D74" s="13" t="s">
        <v>93</v>
      </c>
      <c r="E74" s="13" t="s">
        <v>93</v>
      </c>
    </row>
    <row r="75" spans="1:5" ht="21" x14ac:dyDescent="0.25">
      <c r="A75" s="4" t="s">
        <v>65</v>
      </c>
      <c r="B75" s="9" t="s">
        <v>91</v>
      </c>
      <c r="C75" s="9" t="s">
        <v>91</v>
      </c>
      <c r="D75" s="9" t="s">
        <v>91</v>
      </c>
      <c r="E75" s="9" t="s">
        <v>91</v>
      </c>
    </row>
    <row r="76" spans="1:5" ht="19" x14ac:dyDescent="0.25">
      <c r="A76" s="5" t="s">
        <v>66</v>
      </c>
      <c r="B76" s="1">
        <v>84724000</v>
      </c>
      <c r="C76" s="1">
        <v>36971000</v>
      </c>
      <c r="D76" s="1">
        <v>17953000</v>
      </c>
      <c r="E76" s="1">
        <v>119407000</v>
      </c>
    </row>
    <row r="77" spans="1:5" ht="19" x14ac:dyDescent="0.25">
      <c r="A77" s="5" t="s">
        <v>13</v>
      </c>
      <c r="B77" s="1">
        <v>59886000</v>
      </c>
      <c r="C77" s="1">
        <v>64048000</v>
      </c>
      <c r="D77" s="1">
        <v>48307000</v>
      </c>
      <c r="E77" s="1">
        <v>48527000</v>
      </c>
    </row>
    <row r="78" spans="1:5" ht="19" x14ac:dyDescent="0.25">
      <c r="A78" s="5" t="s">
        <v>67</v>
      </c>
      <c r="B78" s="1">
        <v>2015000</v>
      </c>
      <c r="C78" s="1">
        <v>-4909000</v>
      </c>
      <c r="D78" s="1">
        <v>-18931000</v>
      </c>
      <c r="E78" s="1">
        <v>7498000</v>
      </c>
    </row>
    <row r="79" spans="1:5" ht="19" x14ac:dyDescent="0.25">
      <c r="A79" s="5" t="s">
        <v>68</v>
      </c>
      <c r="B79" s="1">
        <v>1441000</v>
      </c>
      <c r="C79" s="1">
        <v>1435000</v>
      </c>
      <c r="D79" s="1">
        <v>49870000</v>
      </c>
      <c r="E79" s="1">
        <v>33548000</v>
      </c>
    </row>
    <row r="80" spans="1:5" ht="19" x14ac:dyDescent="0.25">
      <c r="A80" s="14" t="s">
        <v>104</v>
      </c>
      <c r="B80" s="15">
        <f t="shared" ref="B80:E80" si="4">B79/B3</f>
        <v>1.9894768959742432E-3</v>
      </c>
      <c r="C80" s="15">
        <f t="shared" si="4"/>
        <v>2.2073900650526313E-3</v>
      </c>
      <c r="D80" s="15">
        <f t="shared" si="4"/>
        <v>8.4352857797691846E-2</v>
      </c>
      <c r="E80" s="15">
        <f t="shared" si="4"/>
        <v>4.3643989519614297E-2</v>
      </c>
    </row>
    <row r="81" spans="1:13" ht="19" x14ac:dyDescent="0.25">
      <c r="A81" s="5" t="s">
        <v>69</v>
      </c>
      <c r="B81" s="1">
        <v>-32144000</v>
      </c>
      <c r="C81" s="1">
        <v>-20849000</v>
      </c>
      <c r="D81" s="1">
        <v>4035000</v>
      </c>
      <c r="E81" s="1">
        <v>-53326000</v>
      </c>
    </row>
    <row r="82" spans="1:13" ht="19" x14ac:dyDescent="0.25">
      <c r="A82" s="5" t="s">
        <v>70</v>
      </c>
      <c r="B82" s="1">
        <v>-21174000</v>
      </c>
      <c r="C82" s="1">
        <v>16441000</v>
      </c>
      <c r="D82" s="1">
        <v>-9303000</v>
      </c>
      <c r="E82" s="1">
        <v>-18347000</v>
      </c>
    </row>
    <row r="83" spans="1:13" ht="21" x14ac:dyDescent="0.25">
      <c r="A83" s="5" t="s">
        <v>34</v>
      </c>
      <c r="B83" s="1">
        <v>-18598000</v>
      </c>
      <c r="C83" s="1">
        <v>346000</v>
      </c>
      <c r="D83" s="1">
        <v>7641000</v>
      </c>
      <c r="E83" s="1">
        <v>-4471000</v>
      </c>
      <c r="L83" s="62" t="s">
        <v>126</v>
      </c>
      <c r="M83" s="63"/>
    </row>
    <row r="84" spans="1:13" ht="19" x14ac:dyDescent="0.25">
      <c r="A84" s="5" t="s">
        <v>47</v>
      </c>
      <c r="B84" s="1">
        <v>-4788000</v>
      </c>
      <c r="C84" s="1">
        <v>-3122000</v>
      </c>
      <c r="D84" s="1">
        <v>15099000</v>
      </c>
      <c r="E84" s="1">
        <v>-4348000</v>
      </c>
      <c r="L84" s="64" t="s">
        <v>127</v>
      </c>
      <c r="M84" s="65"/>
    </row>
    <row r="85" spans="1:13" ht="20" x14ac:dyDescent="0.25">
      <c r="A85" s="5" t="s">
        <v>71</v>
      </c>
      <c r="B85" s="1">
        <v>16028000</v>
      </c>
      <c r="C85" s="1">
        <v>-23946000</v>
      </c>
      <c r="D85" s="1">
        <v>4878000</v>
      </c>
      <c r="E85" s="1">
        <v>-659000</v>
      </c>
      <c r="L85" s="24" t="s">
        <v>128</v>
      </c>
      <c r="M85" s="25">
        <f>E17</f>
        <v>1057000</v>
      </c>
    </row>
    <row r="86" spans="1:13" ht="20" x14ac:dyDescent="0.25">
      <c r="A86" s="5" t="s">
        <v>72</v>
      </c>
      <c r="B86" s="1">
        <v>5166000</v>
      </c>
      <c r="C86" s="1">
        <v>4723000</v>
      </c>
      <c r="D86" s="1">
        <v>19336000</v>
      </c>
      <c r="E86" s="1">
        <v>475000</v>
      </c>
      <c r="L86" s="24" t="s">
        <v>129</v>
      </c>
      <c r="M86" s="25">
        <f>E56</f>
        <v>3706000</v>
      </c>
    </row>
    <row r="87" spans="1:13" ht="20" x14ac:dyDescent="0.25">
      <c r="A87" s="6" t="s">
        <v>73</v>
      </c>
      <c r="B87" s="10">
        <v>121088000</v>
      </c>
      <c r="C87" s="10">
        <v>81419000</v>
      </c>
      <c r="D87" s="10">
        <v>120570000</v>
      </c>
      <c r="E87" s="10">
        <v>156129000</v>
      </c>
      <c r="L87" s="24" t="s">
        <v>130</v>
      </c>
      <c r="M87" s="25">
        <f>E61</f>
        <v>37748000</v>
      </c>
    </row>
    <row r="88" spans="1:13" ht="20" x14ac:dyDescent="0.25">
      <c r="A88" s="5" t="s">
        <v>74</v>
      </c>
      <c r="B88" s="1">
        <v>-98297000</v>
      </c>
      <c r="C88" s="1">
        <v>-45615000</v>
      </c>
      <c r="D88" s="1">
        <v>-40673000</v>
      </c>
      <c r="E88" s="1">
        <v>-69941000</v>
      </c>
      <c r="L88" s="34" t="s">
        <v>131</v>
      </c>
      <c r="M88" s="35">
        <f>M85/(M86+M87)</f>
        <v>2.5498142519419117E-2</v>
      </c>
    </row>
    <row r="89" spans="1:13" ht="20" customHeight="1" x14ac:dyDescent="0.25">
      <c r="A89" s="14" t="s">
        <v>105</v>
      </c>
      <c r="B89" s="15">
        <f t="shared" ref="B89:E89" si="5">(-1*B88)/B3</f>
        <v>0.13571104125161706</v>
      </c>
      <c r="C89" s="15">
        <f t="shared" si="5"/>
        <v>7.0167315552178242E-2</v>
      </c>
      <c r="D89" s="15">
        <f t="shared" si="5"/>
        <v>6.8796546725596958E-2</v>
      </c>
      <c r="E89" s="15">
        <f t="shared" si="5"/>
        <v>9.0989157952526045E-2</v>
      </c>
      <c r="L89" s="24" t="s">
        <v>106</v>
      </c>
      <c r="M89" s="25">
        <f>E27</f>
        <v>21191000</v>
      </c>
    </row>
    <row r="90" spans="1:13" ht="20" x14ac:dyDescent="0.25">
      <c r="A90" s="5" t="s">
        <v>75</v>
      </c>
      <c r="B90" s="1" t="s">
        <v>92</v>
      </c>
      <c r="C90" s="1" t="s">
        <v>92</v>
      </c>
      <c r="D90" s="1">
        <v>-27890000</v>
      </c>
      <c r="E90" s="1">
        <v>-14549000</v>
      </c>
      <c r="L90" s="24" t="s">
        <v>19</v>
      </c>
      <c r="M90" s="25">
        <f>E25</f>
        <v>140746000</v>
      </c>
    </row>
    <row r="91" spans="1:13" ht="20" x14ac:dyDescent="0.25">
      <c r="A91" s="5" t="s">
        <v>76</v>
      </c>
      <c r="B91" s="1" t="s">
        <v>92</v>
      </c>
      <c r="C91" s="1" t="s">
        <v>92</v>
      </c>
      <c r="D91" s="1" t="s">
        <v>92</v>
      </c>
      <c r="E91" s="1">
        <v>-9189000</v>
      </c>
      <c r="L91" s="34" t="s">
        <v>132</v>
      </c>
      <c r="M91" s="35">
        <f>M89/M90</f>
        <v>0.15056200531453826</v>
      </c>
    </row>
    <row r="92" spans="1:13" ht="20" x14ac:dyDescent="0.25">
      <c r="A92" s="5" t="s">
        <v>77</v>
      </c>
      <c r="B92" s="1">
        <v>421000</v>
      </c>
      <c r="C92" s="1" t="s">
        <v>92</v>
      </c>
      <c r="D92" s="1" t="s">
        <v>92</v>
      </c>
      <c r="E92" s="1" t="s">
        <v>92</v>
      </c>
      <c r="L92" s="36" t="s">
        <v>133</v>
      </c>
      <c r="M92" s="37">
        <f>M88*(1-M91)</f>
        <v>2.1659091049899482E-2</v>
      </c>
    </row>
    <row r="93" spans="1:13" ht="19" x14ac:dyDescent="0.25">
      <c r="A93" s="5" t="s">
        <v>78</v>
      </c>
      <c r="B93" s="1">
        <v>354000</v>
      </c>
      <c r="C93" s="1">
        <v>3936000</v>
      </c>
      <c r="D93" s="1">
        <v>318000</v>
      </c>
      <c r="E93" s="1">
        <v>27408000</v>
      </c>
      <c r="L93" s="64" t="s">
        <v>134</v>
      </c>
      <c r="M93" s="65"/>
    </row>
    <row r="94" spans="1:13" ht="20" x14ac:dyDescent="0.25">
      <c r="A94" s="6" t="s">
        <v>79</v>
      </c>
      <c r="B94" s="10">
        <v>-97522000</v>
      </c>
      <c r="C94" s="10">
        <v>-41679000</v>
      </c>
      <c r="D94" s="10">
        <v>-68245000</v>
      </c>
      <c r="E94" s="10">
        <v>-66271000</v>
      </c>
      <c r="L94" s="24" t="s">
        <v>135</v>
      </c>
      <c r="M94" s="38">
        <v>4.095E-2</v>
      </c>
    </row>
    <row r="95" spans="1:13" ht="20" x14ac:dyDescent="0.25">
      <c r="A95" s="5" t="s">
        <v>80</v>
      </c>
      <c r="B95" s="1">
        <v>-10000000</v>
      </c>
      <c r="C95" s="1" t="s">
        <v>92</v>
      </c>
      <c r="D95" s="1">
        <v>-333000000</v>
      </c>
      <c r="E95" s="1" t="s">
        <v>92</v>
      </c>
      <c r="L95" s="24" t="s">
        <v>136</v>
      </c>
      <c r="M95" s="39" cm="1">
        <f t="array" ref="M95">_FV(A1,"Beta")</f>
        <v>1.61</v>
      </c>
    </row>
    <row r="96" spans="1:13" ht="20" x14ac:dyDescent="0.25">
      <c r="A96" s="5" t="s">
        <v>81</v>
      </c>
      <c r="B96" s="1" t="s">
        <v>92</v>
      </c>
      <c r="C96" s="1" t="s">
        <v>92</v>
      </c>
      <c r="D96" s="1">
        <v>321425000</v>
      </c>
      <c r="E96" s="1" t="s">
        <v>92</v>
      </c>
      <c r="L96" s="24" t="s">
        <v>137</v>
      </c>
      <c r="M96" s="38">
        <v>8.4000000000000005E-2</v>
      </c>
    </row>
    <row r="97" spans="1:13" ht="20" x14ac:dyDescent="0.25">
      <c r="A97" s="5" t="s">
        <v>82</v>
      </c>
      <c r="B97" s="1" t="s">
        <v>92</v>
      </c>
      <c r="C97" s="1" t="s">
        <v>92</v>
      </c>
      <c r="D97" s="1" t="s">
        <v>92</v>
      </c>
      <c r="E97" s="1" t="s">
        <v>92</v>
      </c>
      <c r="L97" s="36" t="s">
        <v>138</v>
      </c>
      <c r="M97" s="37">
        <f>(M94)+((M95)*(M96-M94))</f>
        <v>0.11026050000000001</v>
      </c>
    </row>
    <row r="98" spans="1:13" ht="19" x14ac:dyDescent="0.25">
      <c r="A98" s="5" t="s">
        <v>83</v>
      </c>
      <c r="B98" s="1" t="s">
        <v>92</v>
      </c>
      <c r="C98" s="1" t="s">
        <v>92</v>
      </c>
      <c r="D98" s="1">
        <v>-400000000</v>
      </c>
      <c r="E98" s="1" t="s">
        <v>92</v>
      </c>
      <c r="L98" s="64" t="s">
        <v>139</v>
      </c>
      <c r="M98" s="65"/>
    </row>
    <row r="99" spans="1:13" ht="20" x14ac:dyDescent="0.25">
      <c r="A99" s="5" t="s">
        <v>84</v>
      </c>
      <c r="B99" s="1">
        <v>-29743000</v>
      </c>
      <c r="C99" s="1">
        <v>82500000</v>
      </c>
      <c r="D99" s="1">
        <v>339389000</v>
      </c>
      <c r="E99" s="1">
        <v>-5307000</v>
      </c>
      <c r="L99" s="24" t="s">
        <v>140</v>
      </c>
      <c r="M99" s="25">
        <f>M86+M87</f>
        <v>41454000</v>
      </c>
    </row>
    <row r="100" spans="1:13" ht="20" x14ac:dyDescent="0.25">
      <c r="A100" s="6" t="s">
        <v>85</v>
      </c>
      <c r="B100" s="10">
        <v>-39743000</v>
      </c>
      <c r="C100" s="10">
        <v>82500000</v>
      </c>
      <c r="D100" s="10">
        <v>-72186000</v>
      </c>
      <c r="E100" s="10">
        <v>-5307000</v>
      </c>
      <c r="L100" s="34" t="s">
        <v>141</v>
      </c>
      <c r="M100" s="35">
        <f>M99/M103</f>
        <v>5.466593251640648E-3</v>
      </c>
    </row>
    <row r="101" spans="1:13" ht="20" x14ac:dyDescent="0.25">
      <c r="A101" s="5" t="s">
        <v>86</v>
      </c>
      <c r="B101" s="1">
        <v>-864000</v>
      </c>
      <c r="C101" s="1">
        <v>-5621000</v>
      </c>
      <c r="D101" s="1">
        <v>3860000</v>
      </c>
      <c r="E101" s="1">
        <v>1373000</v>
      </c>
      <c r="L101" s="24" t="s">
        <v>142</v>
      </c>
      <c r="M101" s="40" cm="1">
        <f t="array" ref="M101">_FV(A1,"Market cap",TRUE)</f>
        <v>7541696619</v>
      </c>
    </row>
    <row r="102" spans="1:13" ht="20" x14ac:dyDescent="0.25">
      <c r="A102" s="6" t="s">
        <v>87</v>
      </c>
      <c r="B102" s="10">
        <v>-17041000</v>
      </c>
      <c r="C102" s="10">
        <v>116619000</v>
      </c>
      <c r="D102" s="10">
        <v>-16001000</v>
      </c>
      <c r="E102" s="10">
        <v>85924000</v>
      </c>
      <c r="L102" s="34" t="s">
        <v>143</v>
      </c>
      <c r="M102" s="35">
        <f>M101/M103</f>
        <v>0.99453340674835933</v>
      </c>
    </row>
    <row r="103" spans="1:13" ht="20" x14ac:dyDescent="0.25">
      <c r="A103" s="5" t="s">
        <v>88</v>
      </c>
      <c r="B103" s="1">
        <v>120298000</v>
      </c>
      <c r="C103" s="1">
        <v>103257000</v>
      </c>
      <c r="D103" s="1">
        <v>219876000</v>
      </c>
      <c r="E103" s="1">
        <v>203875000</v>
      </c>
      <c r="L103" s="36" t="s">
        <v>144</v>
      </c>
      <c r="M103" s="41">
        <f>M99+M101</f>
        <v>7583150619</v>
      </c>
    </row>
    <row r="104" spans="1:13" ht="20" thickBot="1" x14ac:dyDescent="0.3">
      <c r="A104" s="7" t="s">
        <v>89</v>
      </c>
      <c r="B104" s="11">
        <v>103257000</v>
      </c>
      <c r="C104" s="11">
        <v>219876000</v>
      </c>
      <c r="D104" s="11">
        <v>203875000</v>
      </c>
      <c r="E104" s="11">
        <v>289799000</v>
      </c>
      <c r="L104" s="64" t="s">
        <v>145</v>
      </c>
      <c r="M104" s="65"/>
    </row>
    <row r="105" spans="1:13" ht="21" thickTop="1" x14ac:dyDescent="0.25">
      <c r="A105" s="14" t="s">
        <v>107</v>
      </c>
      <c r="B105" s="1"/>
      <c r="C105" s="15">
        <f>(C106/B106)-1</f>
        <v>0.57097099732350487</v>
      </c>
      <c r="D105" s="15">
        <f>(D106/C106)-1</f>
        <v>1.2315104457602501</v>
      </c>
      <c r="E105" s="15">
        <f>(E106/D106)-1</f>
        <v>7.873887630324039E-2</v>
      </c>
      <c r="F105" s="15"/>
      <c r="G105" s="15"/>
      <c r="H105" s="15"/>
      <c r="I105" s="15"/>
      <c r="J105" s="15"/>
      <c r="K105" s="15"/>
      <c r="L105" s="26" t="s">
        <v>108</v>
      </c>
      <c r="M105" s="27">
        <f>(M100*M92)+(M102*M97)</f>
        <v>0.10977615213574754</v>
      </c>
    </row>
    <row r="106" spans="1:13" ht="19" x14ac:dyDescent="0.25">
      <c r="A106" s="5" t="s">
        <v>90</v>
      </c>
      <c r="B106" s="1">
        <v>22791000</v>
      </c>
      <c r="C106" s="1">
        <v>35804000</v>
      </c>
      <c r="D106" s="1">
        <v>79897000</v>
      </c>
      <c r="E106" s="1">
        <v>86188000</v>
      </c>
      <c r="F106" s="42">
        <f>E106*(1+$M$106)</f>
        <v>98059192.96861206</v>
      </c>
      <c r="G106" s="42">
        <f t="shared" ref="G106:J106" si="6">F106*(1+$M$106)</f>
        <v>111565476.93014686</v>
      </c>
      <c r="H106" s="42">
        <f t="shared" si="6"/>
        <v>126932062.82694237</v>
      </c>
      <c r="I106" s="42">
        <f t="shared" si="6"/>
        <v>144415181.26248586</v>
      </c>
      <c r="J106" s="42">
        <f t="shared" si="6"/>
        <v>164306355.026398</v>
      </c>
      <c r="K106" s="43" t="s">
        <v>146</v>
      </c>
      <c r="L106" s="44" t="s">
        <v>147</v>
      </c>
      <c r="M106" s="45">
        <f>(SUM(F4:J4)/5)</f>
        <v>0.13773603017371397</v>
      </c>
    </row>
    <row r="107" spans="1:13" ht="19" x14ac:dyDescent="0.25">
      <c r="A107" s="5"/>
      <c r="B107" s="13"/>
      <c r="C107" s="13"/>
      <c r="D107" s="13"/>
      <c r="E107" s="13"/>
      <c r="F107" s="43"/>
      <c r="G107" s="43"/>
      <c r="H107" s="43"/>
      <c r="I107" s="43"/>
      <c r="J107" s="46">
        <f>J106*(1+M107)/(M108-M107)</f>
        <v>1986572988.5025394</v>
      </c>
      <c r="K107" s="47" t="s">
        <v>148</v>
      </c>
      <c r="L107" s="48" t="s">
        <v>149</v>
      </c>
      <c r="M107" s="49">
        <v>2.5000000000000001E-2</v>
      </c>
    </row>
    <row r="108" spans="1:13" ht="19" x14ac:dyDescent="0.25">
      <c r="F108" s="46">
        <f t="shared" ref="F108:H108" si="7">F107+F106</f>
        <v>98059192.96861206</v>
      </c>
      <c r="G108" s="46">
        <f t="shared" si="7"/>
        <v>111565476.93014686</v>
      </c>
      <c r="H108" s="46">
        <f t="shared" si="7"/>
        <v>126932062.82694237</v>
      </c>
      <c r="I108" s="46">
        <f>I107+I106</f>
        <v>144415181.26248586</v>
      </c>
      <c r="J108" s="46">
        <f>J107+J106</f>
        <v>2150879343.5289373</v>
      </c>
      <c r="K108" s="47" t="s">
        <v>144</v>
      </c>
      <c r="L108" s="50" t="s">
        <v>150</v>
      </c>
      <c r="M108" s="51">
        <f>M105</f>
        <v>0.10977615213574754</v>
      </c>
    </row>
    <row r="109" spans="1:13" ht="19" x14ac:dyDescent="0.25">
      <c r="F109" s="60" t="s">
        <v>151</v>
      </c>
      <c r="G109" s="61"/>
    </row>
    <row r="110" spans="1:13" ht="20" x14ac:dyDescent="0.25">
      <c r="F110" s="52" t="s">
        <v>152</v>
      </c>
      <c r="G110" s="40">
        <f>NPV(M108,F108,G108,H108,I108,J108)</f>
        <v>1644750392.4771559</v>
      </c>
    </row>
    <row r="111" spans="1:13" ht="20" x14ac:dyDescent="0.25">
      <c r="F111" s="52" t="s">
        <v>153</v>
      </c>
      <c r="G111" s="40">
        <f>E40</f>
        <v>282383000</v>
      </c>
    </row>
    <row r="112" spans="1:13" ht="20" x14ac:dyDescent="0.25">
      <c r="F112" s="52" t="s">
        <v>140</v>
      </c>
      <c r="G112" s="40">
        <f>M99</f>
        <v>41454000</v>
      </c>
    </row>
    <row r="113" spans="6:7" ht="20" x14ac:dyDescent="0.25">
      <c r="F113" s="52" t="s">
        <v>154</v>
      </c>
      <c r="G113" s="40">
        <f>G110+G111-G112</f>
        <v>1885679392.4771559</v>
      </c>
    </row>
    <row r="114" spans="6:7" ht="20" x14ac:dyDescent="0.25">
      <c r="F114" s="52" t="s">
        <v>155</v>
      </c>
      <c r="G114" s="53">
        <f>E34*(1+(5*K16))</f>
        <v>198260551.05984059</v>
      </c>
    </row>
    <row r="115" spans="6:7" ht="20" x14ac:dyDescent="0.25">
      <c r="F115" s="54" t="s">
        <v>156</v>
      </c>
      <c r="G115" s="55">
        <f>G113/G114</f>
        <v>9.5111174784740964</v>
      </c>
    </row>
    <row r="116" spans="6:7" ht="20" x14ac:dyDescent="0.25">
      <c r="F116" s="52" t="s">
        <v>157</v>
      </c>
      <c r="G116" s="56" cm="1">
        <f t="array" ref="G116">_FV(A1,"Price")</f>
        <v>39.33</v>
      </c>
    </row>
    <row r="117" spans="6:7" ht="20" x14ac:dyDescent="0.25">
      <c r="F117" s="57" t="s">
        <v>158</v>
      </c>
      <c r="G117" s="58">
        <f>G115/G116-1</f>
        <v>-0.75817143456714731</v>
      </c>
    </row>
    <row r="118" spans="6:7" ht="20" x14ac:dyDescent="0.25">
      <c r="F118" s="57" t="s">
        <v>159</v>
      </c>
      <c r="G118" s="59" t="str">
        <f>IF(G115&gt;G116,"BUY","SELL")</f>
        <v>SELL</v>
      </c>
    </row>
  </sheetData>
  <mergeCells count="6">
    <mergeCell ref="F109:G109"/>
    <mergeCell ref="L83:M83"/>
    <mergeCell ref="L84:M84"/>
    <mergeCell ref="L93:M93"/>
    <mergeCell ref="L98:M98"/>
    <mergeCell ref="L104:M104"/>
  </mergeCells>
  <hyperlinks>
    <hyperlink ref="A1" r:id="rId1" tooltip="https://roic.ai/company/ALGM" display="ROIC.AI | ALGM"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866291/000086629121000020/0000866291-21-000020-index.htm" xr:uid="{00000000-0004-0000-0000-000007000000}"/>
    <hyperlink ref="D74" r:id="rId7" tooltip="https://www.sec.gov/Archives/edgar/data/866291/000086629121000020/0000866291-21-000020-index.htm" xr:uid="{00000000-0004-0000-0000-000008000000}"/>
    <hyperlink ref="E36" r:id="rId8" tooltip="https://www.sec.gov/Archives/edgar/data/866291/000086629122000011/0000866291-22-000011-index.htm" xr:uid="{00000000-0004-0000-0000-00000A000000}"/>
    <hyperlink ref="E74" r:id="rId9" tooltip="https://www.sec.gov/Archives/edgar/data/866291/000086629122000011/0000866291-22-000011-index.htm" xr:uid="{00000000-0004-0000-0000-00000B000000}"/>
    <hyperlink ref="F1" r:id="rId10" display="https://finbox.com/NASDAQGS:ALGM/explorer/revenue_proj/" xr:uid="{B6939F95-8E65-A24B-AE27-58B17D5207D9}"/>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2023-03-13T06:17:30Z</dcterms:created>
  <dcterms:modified xsi:type="dcterms:W3CDTF">2023-05-22T20:46:19Z</dcterms:modified>
</cp:coreProperties>
</file>