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ina/Documents/financial-modeling/Technology/Hardware/"/>
    </mc:Choice>
  </mc:AlternateContent>
  <xr:revisionPtr revIDLastSave="0" documentId="13_ncr:1_{B931D177-C367-AF47-8B50-6992C951BECA}" xr6:coauthVersionLast="47" xr6:coauthVersionMax="47" xr10:uidLastSave="{00000000-0000-0000-0000-000000000000}"/>
  <bookViews>
    <workbookView xWindow="0" yWindow="500" windowWidth="28800" windowHeight="175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 l="1"/>
  <c r="L19" i="1"/>
  <c r="K16" i="1"/>
  <c r="G30" i="1"/>
  <c r="H30" i="1"/>
  <c r="I30" i="1"/>
  <c r="J30" i="1"/>
  <c r="F30" i="1"/>
  <c r="F29" i="1"/>
  <c r="G29" i="1"/>
  <c r="H29" i="1"/>
  <c r="I29" i="1"/>
  <c r="J29" i="1"/>
  <c r="G21" i="1"/>
  <c r="H21" i="1"/>
  <c r="I21" i="1"/>
  <c r="J21" i="1"/>
  <c r="F21" i="1"/>
  <c r="F20" i="1"/>
  <c r="G20" i="1"/>
  <c r="H20" i="1"/>
  <c r="I20" i="1"/>
  <c r="J20" i="1"/>
  <c r="G114" i="1" a="1"/>
  <c r="G114" i="1" s="1"/>
  <c r="G116" i="1" a="1"/>
  <c r="G116" i="1" s="1"/>
  <c r="M88" i="1"/>
  <c r="M85" i="1"/>
  <c r="M101" i="1" a="1"/>
  <c r="M101" i="1" s="1"/>
  <c r="L16" i="1" s="1"/>
  <c r="M97" i="1"/>
  <c r="G111" i="1"/>
  <c r="M90" i="1"/>
  <c r="M89" i="1"/>
  <c r="M91" i="1" s="1"/>
  <c r="M87" i="1"/>
  <c r="M86" i="1"/>
  <c r="M99" i="1" s="1"/>
  <c r="M92" i="1"/>
  <c r="K19" i="1"/>
  <c r="N13" i="1"/>
  <c r="M13" i="1"/>
  <c r="L13" i="1"/>
  <c r="K13" i="1"/>
  <c r="N10" i="1"/>
  <c r="M10" i="1"/>
  <c r="L10" i="1"/>
  <c r="K10" i="1"/>
  <c r="N7" i="1"/>
  <c r="M7" i="1"/>
  <c r="L7" i="1"/>
  <c r="K7" i="1"/>
  <c r="N4" i="1"/>
  <c r="M4" i="1"/>
  <c r="L4" i="1"/>
  <c r="K4" i="1"/>
  <c r="J4" i="1"/>
  <c r="I4" i="1"/>
  <c r="H4" i="1"/>
  <c r="G4" i="1"/>
  <c r="F4" i="1"/>
  <c r="E105" i="1"/>
  <c r="D105" i="1"/>
  <c r="C105"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M16" i="1" l="1"/>
  <c r="M106" i="1"/>
  <c r="F106" i="1" s="1"/>
  <c r="M103" i="1"/>
  <c r="M100" i="1" s="1"/>
  <c r="G112" i="1"/>
  <c r="N16" i="1"/>
  <c r="G106" i="1" l="1"/>
  <c r="F108" i="1"/>
  <c r="M102" i="1"/>
  <c r="M105" i="1" s="1"/>
  <c r="M108" i="1" s="1"/>
  <c r="J107" i="1" s="1"/>
  <c r="J108" i="1" s="1"/>
  <c r="H106" i="1" l="1"/>
  <c r="G108" i="1"/>
  <c r="I106" i="1" l="1"/>
  <c r="H108" i="1"/>
  <c r="J106" i="1" l="1"/>
  <c r="I108" i="1"/>
  <c r="G110" i="1" l="1"/>
  <c r="G113" i="1" s="1"/>
  <c r="G115" i="1" s="1"/>
  <c r="G118" i="1" l="1"/>
  <c r="G117"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<sst xmlns="http://schemas.openxmlformats.org/spreadsheetml/2006/main" count="300" uniqueCount="161">
  <si>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</si>
  <si>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</si>
  <si>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</si>
  <si>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</si>
  <si>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</si>
  <si>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</si>
  <si>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</si>
  <si>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</si>
  <si>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</si>
  <si>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</si>
  <si>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</si>
  <si>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</si>
  <si>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</si>
  <si>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</si>
  <si>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</si>
  <si>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</si>
  <si>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</si>
  <si>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</si>
  <si>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</si>
  <si>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</si>
  <si>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</si>
  <si>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</si>
  <si>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</si>
  <si>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</si>
  <si>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</si>
  <si>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</si>
  <si>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</si>
  <si>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</si>
  <si>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</si>
  <si>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</si>
  <si>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</si>
  <si>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</si>
  <si>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</si>
  <si>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</si>
  <si>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</si>
  <si>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</si>
  <si>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</si>
  <si>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</si>
  <si>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</si>
  <si>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</si>
  <si>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</si>
  <si>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</si>
  <si>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</si>
  <si>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</si>
  <si>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</si>
  <si>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</si>
  <si>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</si>
  <si>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</si>
  <si>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</si>
  <si>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</si>
  <si>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</si>
  <si>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</si>
  <si>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</si>
  <si>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</si>
  <si>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</si>
  <si>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</si>
  <si>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</si>
  <si>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</si>
  <si>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</si>
  <si>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</si>
  <si>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</si>
  <si>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</si>
  <si>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</si>
  <si>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</si>
  <si>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</si>
  <si>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</si>
  <si>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</si>
  <si>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</si>
  <si>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</si>
  <si>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</si>
  <si>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</si>
  <si>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</si>
  <si>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</si>
  <si>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</si>
  <si>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</si>
  <si>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</si>
  <si>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</si>
  <si>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</si>
  <si>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</si>
  <si>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</si>
  <si>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</si>
  <si>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</si>
  <si>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</si>
  <si>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</si>
  <si>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</si>
  <si>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</si>
  <si>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</si>
  <si>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</si>
  <si>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</si>
  <si>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</si>
  <si>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Free Cash Flow</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</si>
  <si>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</si>
  <si>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</si>
  <si>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</si>
  <si>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</si>
  <si>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</si>
  <si>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</si>
  <si>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</si>
  <si>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</si>
  <si>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</si>
  <si>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</si>
  <si>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</si>
  <si>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</si>
  <si>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</si>
  <si>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</si>
  <si>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</si>
  <si>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</si>
  <si>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FCF Growth YoY</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</si>
  <si>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</si>
  <si>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</si>
  <si>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</si>
  <si>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</si>
  <si>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</si>
  <si>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</si>
  <si>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</si>
  <si>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</si>
  <si>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</si>
  <si>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</si>
  <si>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</si>
  <si>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</si>
  <si>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</si>
  <si>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</si>
  <si>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</si>
  <si>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</si>
  <si>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</si>
  <si>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</si>
  <si>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</si>
  <si>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</si>
  <si>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</si>
  <si>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</si>
  <si>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</si>
  <si>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</si>
  <si>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</si>
  <si>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</si>
  <si>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</si>
  <si>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</si>
  <si>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</si>
  <si>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</si>
  <si>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</si>
  <si>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</si>
  <si>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</si>
  <si>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</si>
  <si>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</si>
  <si>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</si>
  <si>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</si>
  <si>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Proj. Free Cash Flow</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</si>
  <si>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</si>
  <si>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</si>
  <si>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</si>
  <si>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</si>
  <si>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</si>
  <si>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</si>
  <si>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</si>
  <si>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</si>
  <si>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</si>
  <si>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</si>
  <si>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</si>
  <si>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</si>
  <si>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 Dilution (3yr)</t>
  </si>
  <si>
    <t>Shares (No dilution)</t>
  </si>
  <si>
    <t>Forward 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</si>
</sst>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numFmt numFmtId="165" formatCode="#.00%;\ \-#.00%;\ \-\ \-"/>
    <numFmt numFmtId="166" formatCode="#,##0.00_);\(#,##0.00\);\-\ \-"/>
    <numFmt numFmtId="167" formatCode="&quot;$&quot;#,##0.00"/>
    <numFmt numFmtId="170"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6">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72">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1" fillId="4" borderId="9" xfId="0" applyFont="1" applyFill="1" applyBorder="1" applyAlignment="1">
      <alignment horizontal="left" vertical="center" wrapText="1"/>
    </xf>
    <xf numFmtId="164" fontId="11" fillId="4" borderId="10" xfId="0" applyNumberFormat="1" applyFont="1" applyFill="1" applyBorder="1"/>
    <xf numFmtId="0" fontId="12" fillId="5" borderId="11" xfId="0" applyFont="1" applyFill="1" applyBorder="1" applyAlignment="1">
      <alignment horizontal="left" vertical="center" wrapText="1"/>
    </xf>
    <xf numFmtId="10" fontId="12" fillId="5" borderId="8" xfId="0" applyNumberFormat="1" applyFont="1" applyFill="1" applyBorder="1"/>
    <xf numFmtId="0" fontId="13" fillId="0" borderId="4" xfId="0" applyFont="1" applyBorder="1"/>
    <xf numFmtId="164" fontId="10" fillId="0" borderId="0" xfId="0" applyNumberFormat="1" applyFont="1"/>
    <xf numFmtId="9" fontId="11" fillId="0" borderId="11" xfId="0" applyNumberFormat="1" applyFont="1" applyBorder="1" applyAlignment="1">
      <alignment horizontal="center"/>
    </xf>
    <xf numFmtId="164" fontId="1" fillId="0" borderId="6" xfId="0" applyNumberFormat="1" applyFont="1" applyBorder="1" applyAlignment="1">
      <alignment horizontal="center"/>
    </xf>
    <xf numFmtId="0" fontId="12" fillId="4" borderId="9" xfId="0" applyFont="1" applyFill="1" applyBorder="1" applyAlignment="1">
      <alignment horizontal="left" vertical="center" wrapText="1"/>
    </xf>
    <xf numFmtId="10" fontId="12" fillId="4" borderId="10" xfId="0" applyNumberFormat="1" applyFont="1" applyFill="1" applyBorder="1"/>
    <xf numFmtId="0" fontId="12" fillId="4" borderId="11" xfId="0" applyFont="1" applyFill="1" applyBorder="1" applyAlignment="1">
      <alignment horizontal="left" vertical="center" wrapText="1"/>
    </xf>
    <xf numFmtId="10" fontId="12" fillId="4" borderId="8" xfId="0" applyNumberFormat="1" applyFont="1" applyFill="1" applyBorder="1"/>
    <xf numFmtId="10" fontId="11" fillId="4" borderId="10" xfId="0" applyNumberFormat="1" applyFont="1" applyFill="1" applyBorder="1"/>
    <xf numFmtId="39" fontId="11" fillId="4" borderId="10" xfId="0" applyNumberFormat="1" applyFont="1" applyFill="1" applyBorder="1"/>
    <xf numFmtId="164" fontId="1" fillId="4" borderId="10" xfId="0" applyNumberFormat="1" applyFont="1" applyFill="1" applyBorder="1"/>
    <xf numFmtId="164" fontId="12" fillId="4" borderId="8" xfId="0" applyNumberFormat="1" applyFont="1" applyFill="1" applyBorder="1"/>
    <xf numFmtId="164" fontId="10" fillId="4" borderId="0" xfId="0" applyNumberFormat="1" applyFont="1" applyFill="1"/>
    <xf numFmtId="0" fontId="0" fillId="4" borderId="0" xfId="0" applyFill="1"/>
    <xf numFmtId="9" fontId="16" fillId="4" borderId="9" xfId="0" applyNumberFormat="1" applyFont="1" applyFill="1" applyBorder="1" applyAlignment="1">
      <alignment wrapText="1"/>
    </xf>
    <xf numFmtId="10" fontId="1" fillId="4" borderId="10" xfId="0" applyNumberFormat="1" applyFont="1" applyFill="1" applyBorder="1" applyAlignment="1">
      <alignment horizontal="right" vertical="center"/>
    </xf>
    <xf numFmtId="164" fontId="1" fillId="4" borderId="0" xfId="0" applyNumberFormat="1" applyFont="1" applyFill="1"/>
    <xf numFmtId="0" fontId="0" fillId="4" borderId="0" xfId="0" applyFill="1" applyAlignment="1">
      <alignment horizontal="left"/>
    </xf>
    <xf numFmtId="0" fontId="16" fillId="7" borderId="9" xfId="0" applyFont="1" applyFill="1" applyBorder="1" applyAlignment="1">
      <alignment wrapText="1"/>
    </xf>
    <xf numFmtId="10" fontId="1" fillId="7" borderId="10" xfId="0" applyNumberFormat="1" applyFont="1" applyFill="1" applyBorder="1" applyAlignment="1">
      <alignment horizontal="right" vertical="center"/>
    </xf>
    <xf numFmtId="0" fontId="16" fillId="4" borderId="11" xfId="0" applyFont="1" applyFill="1" applyBorder="1"/>
    <xf numFmtId="10" fontId="1" fillId="4" borderId="8" xfId="0" applyNumberFormat="1" applyFont="1" applyFill="1" applyBorder="1" applyAlignment="1">
      <alignment horizontal="right" vertical="center"/>
    </xf>
    <xf numFmtId="164" fontId="1" fillId="4" borderId="9" xfId="0" applyNumberFormat="1" applyFont="1" applyFill="1" applyBorder="1" applyAlignment="1">
      <alignment wrapText="1"/>
    </xf>
    <xf numFmtId="164" fontId="1" fillId="4" borderId="10" xfId="0" applyNumberFormat="1" applyFont="1" applyFill="1" applyBorder="1" applyAlignment="1">
      <alignment wrapText="1"/>
    </xf>
    <xf numFmtId="164" fontId="1" fillId="5" borderId="9" xfId="0" applyNumberFormat="1" applyFont="1" applyFill="1" applyBorder="1" applyAlignment="1">
      <alignment wrapText="1"/>
    </xf>
    <xf numFmtId="167" fontId="12" fillId="5" borderId="10" xfId="0" applyNumberFormat="1" applyFont="1" applyFill="1" applyBorder="1"/>
    <xf numFmtId="167" fontId="1" fillId="4" borderId="10" xfId="0" applyNumberFormat="1" applyFont="1" applyFill="1" applyBorder="1"/>
    <xf numFmtId="164" fontId="1" fillId="5" borderId="11" xfId="0" applyNumberFormat="1" applyFont="1" applyFill="1" applyBorder="1" applyAlignment="1">
      <alignment wrapText="1"/>
    </xf>
    <xf numFmtId="9" fontId="12" fillId="5" borderId="8" xfId="1" applyFont="1" applyFill="1" applyBorder="1"/>
    <xf numFmtId="0" fontId="12" fillId="5" borderId="8" xfId="0" applyFont="1" applyFill="1" applyBorder="1" applyAlignment="1">
      <alignment horizontal="right"/>
    </xf>
    <xf numFmtId="164" fontId="13" fillId="0" borderId="2" xfId="0" applyNumberFormat="1" applyFont="1" applyBorder="1"/>
    <xf numFmtId="165" fontId="10" fillId="0" borderId="15" xfId="0" applyNumberFormat="1" applyFont="1" applyBorder="1"/>
    <xf numFmtId="164" fontId="13" fillId="0" borderId="3" xfId="0" applyNumberFormat="1" applyFont="1" applyBorder="1"/>
    <xf numFmtId="165" fontId="10" fillId="0" borderId="0" xfId="0" applyNumberFormat="1" applyFont="1"/>
    <xf numFmtId="166" fontId="10" fillId="0" borderId="0" xfId="0" applyNumberFormat="1" applyFont="1"/>
    <xf numFmtId="0" fontId="1" fillId="5" borderId="13" xfId="0" applyFont="1" applyFill="1" applyBorder="1" applyAlignment="1">
      <alignment horizontal="center"/>
    </xf>
    <xf numFmtId="0" fontId="1" fillId="5" borderId="14" xfId="0" applyFont="1" applyFill="1" applyBorder="1" applyAlignment="1">
      <alignment horizontal="center"/>
    </xf>
    <xf numFmtId="0" fontId="14" fillId="5" borderId="12" xfId="0" applyFont="1" applyFill="1" applyBorder="1" applyAlignment="1">
      <alignment horizontal="center"/>
    </xf>
    <xf numFmtId="0" fontId="15" fillId="5" borderId="7" xfId="0" applyFont="1" applyFill="1" applyBorder="1" applyAlignment="1">
      <alignment horizontal="center"/>
    </xf>
    <xf numFmtId="0" fontId="12" fillId="6" borderId="12" xfId="0" applyFont="1" applyFill="1" applyBorder="1" applyAlignment="1">
      <alignment horizontal="center" vertical="center" wrapText="1"/>
    </xf>
    <xf numFmtId="0" fontId="12" fillId="6" borderId="7" xfId="0" applyFont="1" applyFill="1" applyBorder="1" applyAlignment="1">
      <alignment horizontal="center" vertical="center" wrapText="1"/>
    </xf>
    <xf numFmtId="170" fontId="11" fillId="0" borderId="11" xfId="0" applyNumberFormat="1" applyFont="1" applyBorder="1" applyAlignment="1">
      <alignment horizontal="center"/>
    </xf>
    <xf numFmtId="170" fontId="11" fillId="0" borderId="5" xfId="0" applyNumberFormat="1" applyFont="1" applyBorder="1" applyAlignment="1">
      <alignment horizontal="center"/>
    </xf>
    <xf numFmtId="164" fontId="10" fillId="0"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MBLY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0039800995024876E-2"/>
          <c:y val="0.10777817679871887"/>
          <c:w val="0.85760530679933655"/>
          <c:h val="0.77444048216267358"/>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1'!$A$106</c:f>
              <c:strCache>
                <c:ptCount val="1"/>
                <c:pt idx="0">
                  <c:v>Free Cash Flow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1'!$B$106:$E$106</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134</xdr:row>
      <xdr:rowOff>0</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2.1</v>
    <v>5.2005999999999997E-2</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42.884999999999998</v>
    <v>Integrated Hardware &amp; Software</v>
    <v>Stock</v>
    <v>45071.998140705466</v>
    <v>41.43</v>
    <v>34065230255</v>
    <v>MOBILEYE GLOBAL INC.</v>
    <v>MOBILEYE GLOBAL INC.</v>
    <v>42.4</v>
    <v>40.380000000000003</v>
    <v>42.48</v>
    <v>801912200</v>
    <v>MBLY</v>
    <v>MOBILEYE GLOBAL INC. (XNAS:MBLY)</v>
    <v>7</v>
    <v>2940762</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39">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spb>
    <spb s="4">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drawing" Target="../drawings/drawing1.xm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D87" activePane="bottomRight" state="frozen"/>
      <selection pane="topRight"/>
      <selection pane="bottomLeft"/>
      <selection pane="bottomRight" activeCell="G93" sqref="G93"/>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8">
        <v>2023</v>
      </c>
      <c r="G1" s="28">
        <v>2024</v>
      </c>
      <c r="H1" s="28">
        <v>2025</v>
      </c>
      <c r="I1" s="28">
        <v>2026</v>
      </c>
      <c r="J1" s="28">
        <v>2027</v>
      </c>
    </row>
    <row r="2" spans="1:38" ht="21" x14ac:dyDescent="0.25">
      <c r="A2" s="4" t="s">
        <v>0</v>
      </c>
      <c r="B2" s="9" t="s">
        <v>91</v>
      </c>
      <c r="C2" s="9" t="s">
        <v>91</v>
      </c>
      <c r="D2" s="9" t="s">
        <v>91</v>
      </c>
      <c r="E2" s="9" t="s">
        <v>91</v>
      </c>
      <c r="F2" s="9" t="s">
        <v>91</v>
      </c>
      <c r="G2" s="9" t="s">
        <v>91</v>
      </c>
      <c r="H2" s="9" t="s">
        <v>91</v>
      </c>
      <c r="I2" s="9"/>
      <c r="J2" s="9"/>
      <c r="K2" s="9"/>
      <c r="L2" s="9"/>
      <c r="M2" s="9"/>
      <c r="N2" s="9"/>
    </row>
    <row r="3" spans="1:38" ht="40" x14ac:dyDescent="0.25">
      <c r="A3" s="5" t="s">
        <v>1</v>
      </c>
      <c r="B3" s="1">
        <v>879000000</v>
      </c>
      <c r="C3" s="1">
        <v>967000000</v>
      </c>
      <c r="D3" s="1">
        <v>1386000000</v>
      </c>
      <c r="E3" s="1">
        <v>1869000000</v>
      </c>
      <c r="F3" s="29">
        <v>2100000000</v>
      </c>
      <c r="G3" s="29">
        <v>2791000000</v>
      </c>
      <c r="H3" s="29">
        <v>3984000000</v>
      </c>
      <c r="I3" s="29">
        <v>5668000000</v>
      </c>
      <c r="J3" s="29">
        <v>9152000000</v>
      </c>
      <c r="K3" s="19" t="s">
        <v>109</v>
      </c>
      <c r="L3" s="20" t="s">
        <v>110</v>
      </c>
      <c r="M3" s="20" t="s">
        <v>111</v>
      </c>
      <c r="N3" s="20" t="s">
        <v>112</v>
      </c>
    </row>
    <row r="4" spans="1:38" ht="19" x14ac:dyDescent="0.25">
      <c r="A4" s="14" t="s">
        <v>94</v>
      </c>
      <c r="B4" s="1"/>
      <c r="C4" s="15">
        <f>(C3/B3)-1</f>
        <v>0.10011376564277596</v>
      </c>
      <c r="D4" s="15">
        <f>(D3/C3)-1</f>
        <v>0.43329886246122018</v>
      </c>
      <c r="E4" s="15">
        <f>(E3/D3)-1</f>
        <v>0.3484848484848484</v>
      </c>
      <c r="F4" s="16">
        <f t="shared" ref="F4:J4" si="0">(F3/E3)-1</f>
        <v>0.12359550561797761</v>
      </c>
      <c r="G4" s="16">
        <f t="shared" si="0"/>
        <v>0.32904761904761903</v>
      </c>
      <c r="H4" s="16">
        <f t="shared" si="0"/>
        <v>0.42744536008599066</v>
      </c>
      <c r="I4" s="16">
        <f t="shared" si="0"/>
        <v>0.42269076305220876</v>
      </c>
      <c r="J4" s="16">
        <f t="shared" si="0"/>
        <v>0.6146788990825689</v>
      </c>
      <c r="K4" s="17">
        <f>(E4+D4+C4)/3</f>
        <v>0.29396582552961487</v>
      </c>
      <c r="L4" s="17">
        <f>(E20+D20+C20)/3</f>
        <v>-0.37891991609099041</v>
      </c>
      <c r="M4" s="17">
        <f>(E29+D29+C29)/3</f>
        <v>-0.30881754327747363</v>
      </c>
      <c r="N4" s="17">
        <f>(E105+D105+C105)/3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113</v>
      </c>
      <c r="L6" s="20" t="s">
        <v>114</v>
      </c>
      <c r="M6" s="20" t="s">
        <v>115</v>
      </c>
      <c r="N6" s="20" t="s">
        <v>116</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E106/E3</f>
        <v>0.23274478330658105</v>
      </c>
    </row>
    <row r="8" spans="1:38" ht="19" x14ac:dyDescent="0.25">
      <c r="A8" s="5" t="s">
        <v>5</v>
      </c>
      <c r="B8" s="1">
        <v>384000000</v>
      </c>
      <c r="C8" s="1">
        <v>440000000</v>
      </c>
      <c r="D8" s="1">
        <v>544000000</v>
      </c>
      <c r="E8" s="1">
        <v>789000000</v>
      </c>
    </row>
    <row r="9" spans="1:38" ht="19" customHeight="1" x14ac:dyDescent="0.25">
      <c r="A9" s="14" t="s">
        <v>95</v>
      </c>
      <c r="B9" s="15">
        <f>B8/B3</f>
        <v>0.43686006825938567</v>
      </c>
      <c r="C9" s="15">
        <f t="shared" ref="C9:E9" si="1">C8/C3</f>
        <v>0.45501551189245087</v>
      </c>
      <c r="D9" s="15">
        <f t="shared" si="1"/>
        <v>0.39249639249639251</v>
      </c>
      <c r="E9" s="15">
        <f t="shared" si="1"/>
        <v>0.42215088282504015</v>
      </c>
      <c r="F9" s="15"/>
      <c r="G9" s="15"/>
      <c r="K9" s="19" t="s">
        <v>96</v>
      </c>
      <c r="L9" s="20" t="s">
        <v>97</v>
      </c>
      <c r="M9" s="20" t="s">
        <v>98</v>
      </c>
      <c r="N9" s="20" t="s">
        <v>99</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117</v>
      </c>
      <c r="L12" s="20" t="s">
        <v>118</v>
      </c>
      <c r="M12" s="20" t="s">
        <v>119</v>
      </c>
      <c r="N12" s="20" t="s">
        <v>120</v>
      </c>
    </row>
    <row r="13" spans="1:38" ht="19" x14ac:dyDescent="0.25">
      <c r="A13" s="14" t="s">
        <v>100</v>
      </c>
      <c r="B13" s="15">
        <f>B12/B3</f>
        <v>0.1422070534698521</v>
      </c>
      <c r="C13" s="15">
        <f t="shared" ref="C13:E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92</v>
      </c>
      <c r="C14" s="1" t="s">
        <v>92</v>
      </c>
      <c r="D14" s="1" t="s">
        <v>92</v>
      </c>
      <c r="E14" s="1" t="s">
        <v>92</v>
      </c>
    </row>
    <row r="15" spans="1:38" ht="20" x14ac:dyDescent="0.25">
      <c r="A15" s="5" t="s">
        <v>10</v>
      </c>
      <c r="B15" s="1">
        <v>509000000</v>
      </c>
      <c r="C15" s="1">
        <v>589000000</v>
      </c>
      <c r="D15" s="1">
        <v>712000000</v>
      </c>
      <c r="E15" s="1">
        <v>959000000</v>
      </c>
      <c r="K15" s="19" t="s">
        <v>158</v>
      </c>
      <c r="L15" s="20" t="s">
        <v>121</v>
      </c>
      <c r="M15" s="20" t="s">
        <v>122</v>
      </c>
      <c r="N15" s="20" t="s">
        <v>123</v>
      </c>
    </row>
    <row r="16" spans="1:38" ht="19" x14ac:dyDescent="0.25">
      <c r="A16" s="5" t="s">
        <v>11</v>
      </c>
      <c r="B16" s="1">
        <v>965000000</v>
      </c>
      <c r="C16" s="1">
        <v>1180000000</v>
      </c>
      <c r="D16" s="1">
        <v>1443000000</v>
      </c>
      <c r="E16" s="1">
        <v>1906000000</v>
      </c>
      <c r="K16" s="30">
        <f>(E35+D35+C35)/3</f>
        <v>0</v>
      </c>
      <c r="L16" s="69">
        <f>M101/E3</f>
        <v>18.226447434456929</v>
      </c>
      <c r="M16" s="69">
        <f>M101/E28</f>
        <v>-415.42963725609758</v>
      </c>
      <c r="N16" s="70">
        <f>M101/E106</f>
        <v>78.310874149425288</v>
      </c>
    </row>
    <row r="17" spans="1:13" ht="19" x14ac:dyDescent="0.25">
      <c r="A17" s="5" t="s">
        <v>12</v>
      </c>
      <c r="B17" s="1">
        <v>-235000000</v>
      </c>
      <c r="C17" s="1">
        <v>6000000</v>
      </c>
      <c r="D17" s="1">
        <v>3000000</v>
      </c>
      <c r="E17" s="1">
        <v>24000000</v>
      </c>
    </row>
    <row r="18" spans="1:13" ht="20" x14ac:dyDescent="0.25">
      <c r="A18" s="5" t="s">
        <v>13</v>
      </c>
      <c r="B18" s="1">
        <v>338000000</v>
      </c>
      <c r="C18" s="1">
        <v>463000000</v>
      </c>
      <c r="D18" s="1">
        <v>526000000</v>
      </c>
      <c r="E18" s="1">
        <v>567000000</v>
      </c>
      <c r="K18" s="19" t="s">
        <v>124</v>
      </c>
      <c r="L18" s="20" t="s">
        <v>160</v>
      </c>
      <c r="M18" s="20" t="s">
        <v>122</v>
      </c>
    </row>
    <row r="19" spans="1:13" ht="19" x14ac:dyDescent="0.25">
      <c r="A19" s="6" t="s">
        <v>14</v>
      </c>
      <c r="B19" s="10">
        <v>-222000000</v>
      </c>
      <c r="C19" s="10">
        <v>257000000</v>
      </c>
      <c r="D19" s="10">
        <v>472000000</v>
      </c>
      <c r="E19" s="10">
        <v>559000000</v>
      </c>
      <c r="F19" s="58">
        <v>603400000</v>
      </c>
      <c r="G19" s="58">
        <v>876000000</v>
      </c>
      <c r="H19" s="58">
        <v>1380000000</v>
      </c>
      <c r="I19" s="58">
        <v>2243000000</v>
      </c>
      <c r="J19" s="58">
        <v>4063000000</v>
      </c>
      <c r="K19" s="31">
        <f>E40-E56-E61</f>
        <v>1024000000</v>
      </c>
      <c r="L19" s="69">
        <f>M101/F3</f>
        <v>16.221538216666666</v>
      </c>
      <c r="M19" s="69">
        <f>M101/F28</f>
        <v>66.005096405735316</v>
      </c>
    </row>
    <row r="20" spans="1:13" ht="19" customHeight="1" x14ac:dyDescent="0.25">
      <c r="A20" s="14" t="s">
        <v>101</v>
      </c>
      <c r="B20" s="1"/>
      <c r="C20" s="15">
        <f>(C19/B19)-1</f>
        <v>-2.1576576576576576</v>
      </c>
      <c r="D20" s="15">
        <f>(D19/C19)-1</f>
        <v>0.83657587548638124</v>
      </c>
      <c r="E20" s="15">
        <f>(E19/D19)-1</f>
        <v>0.18432203389830515</v>
      </c>
      <c r="F20" s="16">
        <f t="shared" ref="F20:J20" si="3">(F19/E19)-1</f>
        <v>7.9427549194990954E-2</v>
      </c>
      <c r="G20" s="16">
        <f t="shared" si="3"/>
        <v>0.45177328471992051</v>
      </c>
      <c r="H20" s="16">
        <f t="shared" si="3"/>
        <v>0.57534246575342474</v>
      </c>
      <c r="I20" s="16">
        <f t="shared" si="3"/>
        <v>0.62536231884057969</v>
      </c>
      <c r="J20" s="16">
        <f t="shared" si="3"/>
        <v>0.81141328577797589</v>
      </c>
    </row>
    <row r="21" spans="1:13" ht="19" x14ac:dyDescent="0.25">
      <c r="A21" s="5" t="s">
        <v>15</v>
      </c>
      <c r="B21" s="2">
        <v>-0.25259999999999999</v>
      </c>
      <c r="C21" s="2">
        <v>0.26579999999999998</v>
      </c>
      <c r="D21" s="2">
        <v>0.34050000000000002</v>
      </c>
      <c r="E21" s="2">
        <v>0.29909999999999998</v>
      </c>
      <c r="F21" s="59">
        <f>F19/F3</f>
        <v>0.28733333333333333</v>
      </c>
      <c r="G21" s="59">
        <f t="shared" ref="G21:J21" si="4">G19/G3</f>
        <v>0.31386599785023289</v>
      </c>
      <c r="H21" s="59">
        <f t="shared" si="4"/>
        <v>0.34638554216867468</v>
      </c>
      <c r="I21" s="59">
        <f t="shared" si="4"/>
        <v>0.39573041637261819</v>
      </c>
      <c r="J21" s="59">
        <f t="shared" si="4"/>
        <v>0.44394667832167833</v>
      </c>
    </row>
    <row r="22" spans="1:13" ht="19" x14ac:dyDescent="0.25">
      <c r="A22" s="6" t="s">
        <v>16</v>
      </c>
      <c r="B22" s="10">
        <v>-86000000</v>
      </c>
      <c r="C22" s="10">
        <v>-213000000</v>
      </c>
      <c r="D22" s="10">
        <v>-57000000</v>
      </c>
      <c r="E22" s="10">
        <v>-37000000</v>
      </c>
    </row>
    <row r="23" spans="1:13" ht="19" x14ac:dyDescent="0.25">
      <c r="A23" s="5" t="s">
        <v>17</v>
      </c>
      <c r="B23" s="2">
        <v>-9.7799999999999998E-2</v>
      </c>
      <c r="C23" s="2">
        <v>-0.2203</v>
      </c>
      <c r="D23" s="2">
        <v>-4.1099999999999998E-2</v>
      </c>
      <c r="E23" s="2">
        <v>-1.9800000000000002E-2</v>
      </c>
    </row>
    <row r="24" spans="1:13" ht="19" x14ac:dyDescent="0.25">
      <c r="A24" s="5" t="s">
        <v>18</v>
      </c>
      <c r="B24" s="1">
        <v>-239000000</v>
      </c>
      <c r="C24" s="1">
        <v>1000000</v>
      </c>
      <c r="D24" s="1" t="s">
        <v>92</v>
      </c>
      <c r="E24" s="1">
        <v>5000000</v>
      </c>
    </row>
    <row r="25" spans="1:13" ht="19" x14ac:dyDescent="0.25">
      <c r="A25" s="6" t="s">
        <v>19</v>
      </c>
      <c r="B25" s="10">
        <v>-325000000</v>
      </c>
      <c r="C25" s="10">
        <v>-212000000</v>
      </c>
      <c r="D25" s="10">
        <v>-57000000</v>
      </c>
      <c r="E25" s="10">
        <v>-32000000</v>
      </c>
    </row>
    <row r="26" spans="1:13" ht="19" x14ac:dyDescent="0.25">
      <c r="A26" s="5" t="s">
        <v>20</v>
      </c>
      <c r="B26" s="2">
        <v>-0.36969999999999997</v>
      </c>
      <c r="C26" s="2">
        <v>-0.21920000000000001</v>
      </c>
      <c r="D26" s="2">
        <v>-4.1099999999999998E-2</v>
      </c>
      <c r="E26" s="2">
        <v>-1.7100000000000001E-2</v>
      </c>
    </row>
    <row r="27" spans="1:13" ht="19" x14ac:dyDescent="0.25">
      <c r="A27" s="5" t="s">
        <v>21</v>
      </c>
      <c r="B27" s="1">
        <v>3000000</v>
      </c>
      <c r="C27" s="1">
        <v>-16000000</v>
      </c>
      <c r="D27" s="1">
        <v>18000000</v>
      </c>
      <c r="E27" s="1">
        <v>50000000</v>
      </c>
    </row>
    <row r="28" spans="1:13" ht="20" thickBot="1" x14ac:dyDescent="0.3">
      <c r="A28" s="7" t="s">
        <v>22</v>
      </c>
      <c r="B28" s="11">
        <v>-328000000</v>
      </c>
      <c r="C28" s="11">
        <v>-196000000</v>
      </c>
      <c r="D28" s="11">
        <v>-75000000</v>
      </c>
      <c r="E28" s="11">
        <v>-82000000</v>
      </c>
      <c r="F28" s="60">
        <v>516100000</v>
      </c>
      <c r="G28" s="60">
        <v>682400000</v>
      </c>
      <c r="H28" s="60">
        <v>1099000000</v>
      </c>
      <c r="I28" s="60">
        <v>1745000000</v>
      </c>
      <c r="J28" s="60">
        <v>2900000000</v>
      </c>
    </row>
    <row r="29" spans="1:13" ht="20" customHeight="1" thickTop="1" x14ac:dyDescent="0.25">
      <c r="A29" s="14" t="s">
        <v>102</v>
      </c>
      <c r="B29" s="1"/>
      <c r="C29" s="15">
        <f>(C28/B28)-1</f>
        <v>-0.40243902439024393</v>
      </c>
      <c r="D29" s="15">
        <f>(D28/C28)-1</f>
        <v>-0.61734693877551017</v>
      </c>
      <c r="E29" s="15">
        <f>(E28/D28)-1</f>
        <v>9.3333333333333268E-2</v>
      </c>
      <c r="F29" s="16">
        <f t="shared" ref="F29:J29" si="5">(F28/E28)-1</f>
        <v>-7.2939024390243903</v>
      </c>
      <c r="G29" s="16">
        <f t="shared" si="5"/>
        <v>0.32222437512110047</v>
      </c>
      <c r="H29" s="16">
        <f t="shared" si="5"/>
        <v>0.61049237983587346</v>
      </c>
      <c r="I29" s="16">
        <f t="shared" si="5"/>
        <v>0.58780709736123748</v>
      </c>
      <c r="J29" s="16">
        <f t="shared" si="5"/>
        <v>0.66189111747851004</v>
      </c>
    </row>
    <row r="30" spans="1:13" ht="19" x14ac:dyDescent="0.25">
      <c r="A30" s="5" t="s">
        <v>23</v>
      </c>
      <c r="B30" s="2">
        <v>-0.37319999999999998</v>
      </c>
      <c r="C30" s="2">
        <v>-0.20269999999999999</v>
      </c>
      <c r="D30" s="2">
        <v>-5.4100000000000002E-2</v>
      </c>
      <c r="E30" s="2">
        <v>-4.3900000000000002E-2</v>
      </c>
      <c r="F30" s="61">
        <f>F28/F3</f>
        <v>0.24576190476190476</v>
      </c>
      <c r="G30" s="61">
        <f t="shared" ref="G30:J30" si="6">G28/G3</f>
        <v>0.24450017914725905</v>
      </c>
      <c r="H30" s="61">
        <f t="shared" si="6"/>
        <v>0.27585341365461846</v>
      </c>
      <c r="I30" s="61">
        <f t="shared" si="6"/>
        <v>0.30786873676781934</v>
      </c>
      <c r="J30" s="61">
        <f t="shared" si="6"/>
        <v>0.31687062937062938</v>
      </c>
    </row>
    <row r="31" spans="1:13" ht="19" x14ac:dyDescent="0.25">
      <c r="A31" s="5" t="s">
        <v>24</v>
      </c>
      <c r="B31" s="12">
        <v>-0.41</v>
      </c>
      <c r="C31" s="12">
        <v>-0.25</v>
      </c>
      <c r="D31" s="12">
        <v>-0.09</v>
      </c>
      <c r="E31" s="12">
        <v>-0.1</v>
      </c>
      <c r="F31" s="62">
        <v>0.64</v>
      </c>
      <c r="G31" s="62">
        <v>0.85</v>
      </c>
      <c r="H31" s="62">
        <v>1.37</v>
      </c>
      <c r="I31" s="62">
        <v>2.1800000000000002</v>
      </c>
      <c r="J31" s="62">
        <v>6</v>
      </c>
    </row>
    <row r="32" spans="1:13"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103</v>
      </c>
      <c r="B35" s="1"/>
      <c r="C35" s="23">
        <f>(C34-B34)/B34</f>
        <v>0</v>
      </c>
      <c r="D35" s="23">
        <f t="shared" ref="D35:E35" si="7">(D34-C34)/C34</f>
        <v>0</v>
      </c>
      <c r="E35" s="23">
        <f t="shared" si="7"/>
        <v>0</v>
      </c>
    </row>
    <row r="36" spans="1:5" ht="19" x14ac:dyDescent="0.25">
      <c r="A36" s="5" t="s">
        <v>28</v>
      </c>
      <c r="B36" s="13" t="s">
        <v>93</v>
      </c>
      <c r="C36" s="13" t="s">
        <v>93</v>
      </c>
      <c r="D36" s="13" t="s">
        <v>93</v>
      </c>
      <c r="E36" s="13" t="s">
        <v>93</v>
      </c>
    </row>
    <row r="37" spans="1:5" ht="21" x14ac:dyDescent="0.25">
      <c r="A37" s="4" t="s">
        <v>29</v>
      </c>
      <c r="B37" s="9" t="s">
        <v>91</v>
      </c>
      <c r="C37" s="9" t="s">
        <v>91</v>
      </c>
      <c r="D37" s="9" t="s">
        <v>91</v>
      </c>
      <c r="E37" s="9" t="s">
        <v>91</v>
      </c>
    </row>
    <row r="38" spans="1:5" ht="19" x14ac:dyDescent="0.25">
      <c r="A38" s="5" t="s">
        <v>30</v>
      </c>
      <c r="B38" s="1" t="s">
        <v>92</v>
      </c>
      <c r="C38" s="1">
        <v>85000000</v>
      </c>
      <c r="D38" s="1">
        <v>616000000</v>
      </c>
      <c r="E38" s="1">
        <v>1024000000</v>
      </c>
    </row>
    <row r="39" spans="1:5" ht="19" x14ac:dyDescent="0.25">
      <c r="A39" s="5" t="s">
        <v>31</v>
      </c>
      <c r="B39" s="1" t="s">
        <v>92</v>
      </c>
      <c r="C39" s="1" t="s">
        <v>92</v>
      </c>
      <c r="D39" s="1" t="s">
        <v>92</v>
      </c>
      <c r="E39" s="1" t="s">
        <v>92</v>
      </c>
    </row>
    <row r="40" spans="1:5" ht="19" x14ac:dyDescent="0.25">
      <c r="A40" s="5" t="s">
        <v>32</v>
      </c>
      <c r="B40" s="1" t="s">
        <v>92</v>
      </c>
      <c r="C40" s="1">
        <v>85000000</v>
      </c>
      <c r="D40" s="1">
        <v>616000000</v>
      </c>
      <c r="E40" s="1">
        <v>1024000000</v>
      </c>
    </row>
    <row r="41" spans="1:5" ht="19" x14ac:dyDescent="0.25">
      <c r="A41" s="5" t="s">
        <v>33</v>
      </c>
      <c r="B41" s="1" t="s">
        <v>92</v>
      </c>
      <c r="C41" s="1">
        <v>1425000000</v>
      </c>
      <c r="D41" s="1">
        <v>1481000000</v>
      </c>
      <c r="E41" s="1">
        <v>269000000</v>
      </c>
    </row>
    <row r="42" spans="1:5" ht="19" x14ac:dyDescent="0.25">
      <c r="A42" s="5" t="s">
        <v>34</v>
      </c>
      <c r="B42" s="1" t="s">
        <v>92</v>
      </c>
      <c r="C42" s="1">
        <v>128000000</v>
      </c>
      <c r="D42" s="1">
        <v>97000000</v>
      </c>
      <c r="E42" s="1">
        <v>113000000</v>
      </c>
    </row>
    <row r="43" spans="1:5" ht="19" x14ac:dyDescent="0.25">
      <c r="A43" s="5" t="s">
        <v>35</v>
      </c>
      <c r="B43" s="1" t="s">
        <v>92</v>
      </c>
      <c r="C43" s="1">
        <v>54000000</v>
      </c>
      <c r="D43" s="1">
        <v>76000000</v>
      </c>
      <c r="E43" s="1">
        <v>110000000</v>
      </c>
    </row>
    <row r="44" spans="1:5" ht="19" x14ac:dyDescent="0.25">
      <c r="A44" s="6" t="s">
        <v>36</v>
      </c>
      <c r="B44" s="10" t="s">
        <v>92</v>
      </c>
      <c r="C44" s="10">
        <v>1692000000</v>
      </c>
      <c r="D44" s="10">
        <v>2270000000</v>
      </c>
      <c r="E44" s="10">
        <v>1516000000</v>
      </c>
    </row>
    <row r="45" spans="1:5" ht="19" x14ac:dyDescent="0.25">
      <c r="A45" s="5" t="s">
        <v>37</v>
      </c>
      <c r="B45" s="1" t="s">
        <v>92</v>
      </c>
      <c r="C45" s="1">
        <v>187000000</v>
      </c>
      <c r="D45" s="1">
        <v>304000000</v>
      </c>
      <c r="E45" s="1">
        <v>384000000</v>
      </c>
    </row>
    <row r="46" spans="1:5" ht="19" x14ac:dyDescent="0.25">
      <c r="A46" s="5" t="s">
        <v>38</v>
      </c>
      <c r="B46" s="1" t="s">
        <v>92</v>
      </c>
      <c r="C46" s="1">
        <v>10895000000</v>
      </c>
      <c r="D46" s="1">
        <v>10895000000</v>
      </c>
      <c r="E46" s="1">
        <v>10895000000</v>
      </c>
    </row>
    <row r="47" spans="1:5" ht="19" x14ac:dyDescent="0.25">
      <c r="A47" s="5" t="s">
        <v>39</v>
      </c>
      <c r="B47" s="1" t="s">
        <v>92</v>
      </c>
      <c r="C47" s="1">
        <v>3580000000</v>
      </c>
      <c r="D47" s="1">
        <v>3071000000</v>
      </c>
      <c r="E47" s="1">
        <v>2527000000</v>
      </c>
    </row>
    <row r="48" spans="1:5" ht="19" x14ac:dyDescent="0.25">
      <c r="A48" s="5" t="s">
        <v>40</v>
      </c>
      <c r="B48" s="1" t="s">
        <v>92</v>
      </c>
      <c r="C48" s="1">
        <v>14475000000</v>
      </c>
      <c r="D48" s="1">
        <v>13966000000</v>
      </c>
      <c r="E48" s="1">
        <v>13422000000</v>
      </c>
    </row>
    <row r="49" spans="1:5" ht="19" x14ac:dyDescent="0.25">
      <c r="A49" s="5" t="s">
        <v>41</v>
      </c>
      <c r="B49" s="1" t="s">
        <v>92</v>
      </c>
      <c r="C49" s="1" t="s">
        <v>92</v>
      </c>
      <c r="D49" s="1" t="s">
        <v>92</v>
      </c>
      <c r="E49" s="1" t="s">
        <v>92</v>
      </c>
    </row>
    <row r="50" spans="1:5" ht="19" x14ac:dyDescent="0.25">
      <c r="A50" s="5" t="s">
        <v>42</v>
      </c>
      <c r="B50" s="1" t="s">
        <v>92</v>
      </c>
      <c r="C50" s="1" t="s">
        <v>92</v>
      </c>
      <c r="D50" s="1" t="s">
        <v>92</v>
      </c>
      <c r="E50" s="1" t="s">
        <v>92</v>
      </c>
    </row>
    <row r="51" spans="1:5" ht="19" x14ac:dyDescent="0.25">
      <c r="A51" s="5" t="s">
        <v>43</v>
      </c>
      <c r="B51" s="1" t="s">
        <v>92</v>
      </c>
      <c r="C51" s="1">
        <v>108000000</v>
      </c>
      <c r="D51" s="1">
        <v>115000000</v>
      </c>
      <c r="E51" s="1">
        <v>119000000</v>
      </c>
    </row>
    <row r="52" spans="1:5" ht="19" x14ac:dyDescent="0.25">
      <c r="A52" s="5" t="s">
        <v>44</v>
      </c>
      <c r="B52" s="1" t="s">
        <v>92</v>
      </c>
      <c r="C52" s="1">
        <v>14770000000</v>
      </c>
      <c r="D52" s="1">
        <v>14385000000</v>
      </c>
      <c r="E52" s="1">
        <v>13925000000</v>
      </c>
    </row>
    <row r="53" spans="1:5" ht="19" x14ac:dyDescent="0.25">
      <c r="A53" s="5" t="s">
        <v>45</v>
      </c>
      <c r="B53" s="1" t="s">
        <v>92</v>
      </c>
      <c r="C53" s="1" t="s">
        <v>92</v>
      </c>
      <c r="D53" s="1" t="s">
        <v>92</v>
      </c>
      <c r="E53" s="1" t="s">
        <v>92</v>
      </c>
    </row>
    <row r="54" spans="1:5" ht="20" thickBot="1" x14ac:dyDescent="0.3">
      <c r="A54" s="7" t="s">
        <v>46</v>
      </c>
      <c r="B54" s="11" t="s">
        <v>92</v>
      </c>
      <c r="C54" s="11">
        <v>16462000000</v>
      </c>
      <c r="D54" s="11">
        <v>16655000000</v>
      </c>
      <c r="E54" s="11">
        <v>15441000000</v>
      </c>
    </row>
    <row r="55" spans="1:5" ht="20" thickTop="1" x14ac:dyDescent="0.25">
      <c r="A55" s="5" t="s">
        <v>47</v>
      </c>
      <c r="B55" s="1" t="s">
        <v>92</v>
      </c>
      <c r="C55" s="1">
        <v>109000000</v>
      </c>
      <c r="D55" s="1">
        <v>160000000</v>
      </c>
      <c r="E55" s="1">
        <v>189000000</v>
      </c>
    </row>
    <row r="56" spans="1:5" ht="19" x14ac:dyDescent="0.25">
      <c r="A56" s="5" t="s">
        <v>48</v>
      </c>
      <c r="B56" s="1" t="s">
        <v>92</v>
      </c>
      <c r="C56" s="1" t="s">
        <v>92</v>
      </c>
      <c r="D56" s="1" t="s">
        <v>92</v>
      </c>
      <c r="E56" s="1">
        <v>0</v>
      </c>
    </row>
    <row r="57" spans="1:5" ht="19" x14ac:dyDescent="0.25">
      <c r="A57" s="5" t="s">
        <v>49</v>
      </c>
      <c r="B57" s="1" t="s">
        <v>92</v>
      </c>
      <c r="C57" s="1" t="s">
        <v>92</v>
      </c>
      <c r="D57" s="1" t="s">
        <v>92</v>
      </c>
      <c r="E57" s="1" t="s">
        <v>92</v>
      </c>
    </row>
    <row r="58" spans="1:5" ht="19" x14ac:dyDescent="0.25">
      <c r="A58" s="5" t="s">
        <v>50</v>
      </c>
      <c r="B58" s="1" t="s">
        <v>92</v>
      </c>
      <c r="C58" s="1" t="s">
        <v>92</v>
      </c>
      <c r="D58" s="1" t="s">
        <v>92</v>
      </c>
      <c r="E58" s="1" t="s">
        <v>92</v>
      </c>
    </row>
    <row r="59" spans="1:5" ht="19" x14ac:dyDescent="0.25">
      <c r="A59" s="5" t="s">
        <v>51</v>
      </c>
      <c r="B59" s="1" t="s">
        <v>92</v>
      </c>
      <c r="C59" s="1">
        <v>201000000</v>
      </c>
      <c r="D59" s="1">
        <v>314000000</v>
      </c>
      <c r="E59" s="1">
        <v>195000000</v>
      </c>
    </row>
    <row r="60" spans="1:5" ht="19" x14ac:dyDescent="0.25">
      <c r="A60" s="6" t="s">
        <v>52</v>
      </c>
      <c r="B60" s="10" t="s">
        <v>92</v>
      </c>
      <c r="C60" s="10">
        <v>310000000</v>
      </c>
      <c r="D60" s="10">
        <v>474000000</v>
      </c>
      <c r="E60" s="10">
        <v>384000000</v>
      </c>
    </row>
    <row r="61" spans="1:5" ht="19" x14ac:dyDescent="0.25">
      <c r="A61" s="5" t="s">
        <v>53</v>
      </c>
      <c r="B61" s="1" t="s">
        <v>92</v>
      </c>
      <c r="C61" s="1" t="s">
        <v>92</v>
      </c>
      <c r="D61" s="1" t="s">
        <v>92</v>
      </c>
      <c r="E61" s="1">
        <v>0</v>
      </c>
    </row>
    <row r="62" spans="1:5" ht="19" x14ac:dyDescent="0.25">
      <c r="A62" s="5" t="s">
        <v>50</v>
      </c>
      <c r="B62" s="1" t="s">
        <v>92</v>
      </c>
      <c r="C62" s="1" t="s">
        <v>92</v>
      </c>
      <c r="D62" s="1" t="s">
        <v>92</v>
      </c>
      <c r="E62" s="1" t="s">
        <v>92</v>
      </c>
    </row>
    <row r="63" spans="1:5" ht="19" x14ac:dyDescent="0.25">
      <c r="A63" s="5" t="s">
        <v>54</v>
      </c>
      <c r="B63" s="1" t="s">
        <v>92</v>
      </c>
      <c r="C63" s="1">
        <v>208000000</v>
      </c>
      <c r="D63" s="1">
        <v>181000000</v>
      </c>
      <c r="E63" s="1">
        <v>162000000</v>
      </c>
    </row>
    <row r="64" spans="1:5" ht="19" x14ac:dyDescent="0.25">
      <c r="A64" s="5" t="s">
        <v>55</v>
      </c>
      <c r="B64" s="1" t="s">
        <v>92</v>
      </c>
      <c r="C64" s="1">
        <v>102000000</v>
      </c>
      <c r="D64" s="1">
        <v>111000000</v>
      </c>
      <c r="E64" s="1">
        <v>101000000</v>
      </c>
    </row>
    <row r="65" spans="1:5" ht="19" x14ac:dyDescent="0.25">
      <c r="A65" s="5" t="s">
        <v>56</v>
      </c>
      <c r="B65" s="1" t="s">
        <v>92</v>
      </c>
      <c r="C65" s="1">
        <v>310000000</v>
      </c>
      <c r="D65" s="1">
        <v>292000000</v>
      </c>
      <c r="E65" s="1">
        <v>263000000</v>
      </c>
    </row>
    <row r="66" spans="1:5" ht="19" x14ac:dyDescent="0.25">
      <c r="A66" s="5" t="s">
        <v>57</v>
      </c>
      <c r="B66" s="1" t="s">
        <v>92</v>
      </c>
      <c r="C66" s="1" t="s">
        <v>92</v>
      </c>
      <c r="D66" s="1" t="s">
        <v>92</v>
      </c>
      <c r="E66" s="1" t="s">
        <v>92</v>
      </c>
    </row>
    <row r="67" spans="1:5" ht="19" x14ac:dyDescent="0.25">
      <c r="A67" s="6" t="s">
        <v>58</v>
      </c>
      <c r="B67" s="10" t="s">
        <v>92</v>
      </c>
      <c r="C67" s="10">
        <v>620000000</v>
      </c>
      <c r="D67" s="10">
        <v>766000000</v>
      </c>
      <c r="E67" s="10">
        <v>647000000</v>
      </c>
    </row>
    <row r="68" spans="1:5" ht="19" x14ac:dyDescent="0.25">
      <c r="A68" s="5" t="s">
        <v>59</v>
      </c>
      <c r="B68" s="1" t="s">
        <v>92</v>
      </c>
      <c r="C68" s="1">
        <v>15842000000</v>
      </c>
      <c r="D68" s="1">
        <v>15884000000</v>
      </c>
      <c r="E68" s="1" t="s">
        <v>92</v>
      </c>
    </row>
    <row r="69" spans="1:5" ht="19" x14ac:dyDescent="0.25">
      <c r="A69" s="5" t="s">
        <v>60</v>
      </c>
      <c r="B69" s="1" t="s">
        <v>92</v>
      </c>
      <c r="C69" s="1" t="s">
        <v>92</v>
      </c>
      <c r="D69" s="1" t="s">
        <v>92</v>
      </c>
      <c r="E69" s="1" t="s">
        <v>92</v>
      </c>
    </row>
    <row r="70" spans="1:5" ht="19" x14ac:dyDescent="0.25">
      <c r="A70" s="5" t="s">
        <v>61</v>
      </c>
      <c r="B70" s="1" t="s">
        <v>92</v>
      </c>
      <c r="C70" s="1" t="s">
        <v>92</v>
      </c>
      <c r="D70" s="1">
        <v>5000000</v>
      </c>
      <c r="E70" s="1" t="s">
        <v>92</v>
      </c>
    </row>
    <row r="71" spans="1:5" ht="19" x14ac:dyDescent="0.25">
      <c r="A71" s="5" t="s">
        <v>62</v>
      </c>
      <c r="B71" s="1" t="s">
        <v>92</v>
      </c>
      <c r="C71" s="1" t="s">
        <v>92</v>
      </c>
      <c r="D71" s="1" t="s">
        <v>92</v>
      </c>
      <c r="E71" s="1" t="s">
        <v>92</v>
      </c>
    </row>
    <row r="72" spans="1:5" ht="19" x14ac:dyDescent="0.25">
      <c r="A72" s="6" t="s">
        <v>63</v>
      </c>
      <c r="B72" s="10" t="s">
        <v>92</v>
      </c>
      <c r="C72" s="10">
        <v>15842000000</v>
      </c>
      <c r="D72" s="10">
        <v>15889000000</v>
      </c>
      <c r="E72" s="10">
        <v>14794000000</v>
      </c>
    </row>
    <row r="73" spans="1:5" ht="20" thickBot="1" x14ac:dyDescent="0.3">
      <c r="A73" s="7" t="s">
        <v>64</v>
      </c>
      <c r="B73" s="11" t="s">
        <v>92</v>
      </c>
      <c r="C73" s="11">
        <v>16462000000</v>
      </c>
      <c r="D73" s="11">
        <v>16655000000</v>
      </c>
      <c r="E73" s="11">
        <v>15441000000</v>
      </c>
    </row>
    <row r="74" spans="1:5" ht="20" thickTop="1" x14ac:dyDescent="0.25">
      <c r="A74" s="5" t="s">
        <v>28</v>
      </c>
      <c r="B74" s="13" t="s">
        <v>93</v>
      </c>
      <c r="C74" s="13" t="s">
        <v>93</v>
      </c>
      <c r="D74" s="13" t="s">
        <v>93</v>
      </c>
      <c r="E74" s="13" t="s">
        <v>93</v>
      </c>
    </row>
    <row r="75" spans="1:5" ht="21" x14ac:dyDescent="0.25">
      <c r="A75" s="4" t="s">
        <v>65</v>
      </c>
      <c r="B75" s="9" t="s">
        <v>91</v>
      </c>
      <c r="C75" s="9" t="s">
        <v>91</v>
      </c>
      <c r="D75" s="9" t="s">
        <v>91</v>
      </c>
      <c r="E75" s="9" t="s">
        <v>91</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104</v>
      </c>
      <c r="B80" s="15">
        <f t="shared" ref="B80:E80" si="8">B79/B3</f>
        <v>8.6461888509670085E-2</v>
      </c>
      <c r="C80" s="15">
        <f t="shared" si="8"/>
        <v>8.790072388831438E-2</v>
      </c>
      <c r="D80" s="15">
        <f t="shared" si="8"/>
        <v>6.9985569985569984E-2</v>
      </c>
      <c r="E80" s="15">
        <f t="shared" si="8"/>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65" t="s">
        <v>125</v>
      </c>
      <c r="M83" s="66"/>
    </row>
    <row r="84" spans="1:13" ht="19" x14ac:dyDescent="0.25">
      <c r="A84" s="5" t="s">
        <v>47</v>
      </c>
      <c r="B84" s="1" t="s">
        <v>92</v>
      </c>
      <c r="C84" s="1" t="s">
        <v>92</v>
      </c>
      <c r="D84" s="1" t="s">
        <v>92</v>
      </c>
      <c r="E84" s="1" t="s">
        <v>92</v>
      </c>
      <c r="L84" s="67" t="s">
        <v>126</v>
      </c>
      <c r="M84" s="68"/>
    </row>
    <row r="85" spans="1:13" ht="20" x14ac:dyDescent="0.25">
      <c r="A85" s="5" t="s">
        <v>71</v>
      </c>
      <c r="B85" s="1">
        <v>41000000</v>
      </c>
      <c r="C85" s="1">
        <v>37000000</v>
      </c>
      <c r="D85" s="1">
        <v>36000000</v>
      </c>
      <c r="E85" s="1">
        <v>-52000000</v>
      </c>
      <c r="L85" s="24" t="s">
        <v>127</v>
      </c>
      <c r="M85" s="25">
        <f>E17</f>
        <v>24000000</v>
      </c>
    </row>
    <row r="86" spans="1:13" ht="20" x14ac:dyDescent="0.25">
      <c r="A86" s="5" t="s">
        <v>72</v>
      </c>
      <c r="B86" s="1">
        <v>258000000</v>
      </c>
      <c r="C86" s="1">
        <v>2000000</v>
      </c>
      <c r="D86" s="1" t="s">
        <v>92</v>
      </c>
      <c r="E86" s="1">
        <v>34000000</v>
      </c>
      <c r="L86" s="24" t="s">
        <v>128</v>
      </c>
      <c r="M86" s="25">
        <f>E56</f>
        <v>0</v>
      </c>
    </row>
    <row r="87" spans="1:13" ht="20" x14ac:dyDescent="0.25">
      <c r="A87" s="6" t="s">
        <v>73</v>
      </c>
      <c r="B87" s="10">
        <v>300000000</v>
      </c>
      <c r="C87" s="10">
        <v>271000000</v>
      </c>
      <c r="D87" s="10">
        <v>599000000</v>
      </c>
      <c r="E87" s="10">
        <v>546000000</v>
      </c>
      <c r="L87" s="24" t="s">
        <v>129</v>
      </c>
      <c r="M87" s="25">
        <f>E61</f>
        <v>0</v>
      </c>
    </row>
    <row r="88" spans="1:13" ht="20" x14ac:dyDescent="0.25">
      <c r="A88" s="5" t="s">
        <v>74</v>
      </c>
      <c r="B88" s="1">
        <v>-44000000</v>
      </c>
      <c r="C88" s="1">
        <v>-91000000</v>
      </c>
      <c r="D88" s="1">
        <v>-143000000</v>
      </c>
      <c r="E88" s="1">
        <v>-111000000</v>
      </c>
      <c r="L88" s="32" t="s">
        <v>130</v>
      </c>
      <c r="M88" s="33">
        <f>0</f>
        <v>0</v>
      </c>
    </row>
    <row r="89" spans="1:13" ht="20" customHeight="1" x14ac:dyDescent="0.25">
      <c r="A89" s="14" t="s">
        <v>105</v>
      </c>
      <c r="B89" s="15">
        <f t="shared" ref="B89:E89" si="9">(-1*B88)/B3</f>
        <v>5.0056882821387941E-2</v>
      </c>
      <c r="C89" s="15">
        <f t="shared" si="9"/>
        <v>9.4105480868665978E-2</v>
      </c>
      <c r="D89" s="15">
        <f t="shared" si="9"/>
        <v>0.10317460317460317</v>
      </c>
      <c r="E89" s="15">
        <f t="shared" si="9"/>
        <v>5.93900481540931E-2</v>
      </c>
      <c r="L89" s="24" t="s">
        <v>106</v>
      </c>
      <c r="M89" s="25">
        <f>E27</f>
        <v>50000000</v>
      </c>
    </row>
    <row r="90" spans="1:13" ht="20" x14ac:dyDescent="0.25">
      <c r="A90" s="5" t="s">
        <v>75</v>
      </c>
      <c r="B90" s="1" t="s">
        <v>92</v>
      </c>
      <c r="C90" s="1">
        <v>-745000000</v>
      </c>
      <c r="D90" s="1" t="s">
        <v>92</v>
      </c>
      <c r="E90" s="1" t="s">
        <v>92</v>
      </c>
      <c r="L90" s="24" t="s">
        <v>19</v>
      </c>
      <c r="M90" s="25">
        <f>E25</f>
        <v>-32000000</v>
      </c>
    </row>
    <row r="91" spans="1:13" ht="20" x14ac:dyDescent="0.25">
      <c r="A91" s="5" t="s">
        <v>76</v>
      </c>
      <c r="B91" s="1" t="s">
        <v>92</v>
      </c>
      <c r="C91" s="1" t="s">
        <v>92</v>
      </c>
      <c r="D91" s="1" t="s">
        <v>92</v>
      </c>
      <c r="E91" s="1" t="s">
        <v>92</v>
      </c>
      <c r="L91" s="32" t="s">
        <v>131</v>
      </c>
      <c r="M91" s="33">
        <f>M89/M90</f>
        <v>-1.5625</v>
      </c>
    </row>
    <row r="92" spans="1:13" ht="20" x14ac:dyDescent="0.25">
      <c r="A92" s="5" t="s">
        <v>77</v>
      </c>
      <c r="B92" s="1" t="s">
        <v>92</v>
      </c>
      <c r="C92" s="1" t="s">
        <v>92</v>
      </c>
      <c r="D92" s="1" t="s">
        <v>92</v>
      </c>
      <c r="E92" s="1" t="s">
        <v>92</v>
      </c>
      <c r="L92" s="34" t="s">
        <v>132</v>
      </c>
      <c r="M92" s="35">
        <f>M88*(1-M91)</f>
        <v>0</v>
      </c>
    </row>
    <row r="93" spans="1:13" ht="19" x14ac:dyDescent="0.25">
      <c r="A93" s="5" t="s">
        <v>78</v>
      </c>
      <c r="B93" s="1">
        <v>-181000000</v>
      </c>
      <c r="C93" s="1">
        <v>-129000000</v>
      </c>
      <c r="D93" s="1">
        <v>-14000000</v>
      </c>
      <c r="E93" s="1">
        <v>1298000000</v>
      </c>
      <c r="L93" s="67" t="s">
        <v>133</v>
      </c>
      <c r="M93" s="68"/>
    </row>
    <row r="94" spans="1:13" ht="20" x14ac:dyDescent="0.25">
      <c r="A94" s="6" t="s">
        <v>79</v>
      </c>
      <c r="B94" s="10">
        <v>-225000000</v>
      </c>
      <c r="C94" s="10">
        <v>-965000000</v>
      </c>
      <c r="D94" s="10">
        <v>-157000000</v>
      </c>
      <c r="E94" s="10">
        <v>1187000000</v>
      </c>
      <c r="L94" s="24" t="s">
        <v>134</v>
      </c>
      <c r="M94" s="36">
        <v>4.095E-2</v>
      </c>
    </row>
    <row r="95" spans="1:13" ht="20" x14ac:dyDescent="0.25">
      <c r="A95" s="5" t="s">
        <v>80</v>
      </c>
      <c r="B95" s="1" t="s">
        <v>92</v>
      </c>
      <c r="C95" s="1" t="s">
        <v>92</v>
      </c>
      <c r="D95" s="1" t="s">
        <v>92</v>
      </c>
      <c r="E95" s="1" t="s">
        <v>92</v>
      </c>
      <c r="L95" s="24" t="s">
        <v>135</v>
      </c>
      <c r="M95" s="37">
        <v>1.53</v>
      </c>
    </row>
    <row r="96" spans="1:13" ht="20" x14ac:dyDescent="0.25">
      <c r="A96" s="5" t="s">
        <v>81</v>
      </c>
      <c r="B96" s="1" t="s">
        <v>92</v>
      </c>
      <c r="C96" s="1" t="s">
        <v>92</v>
      </c>
      <c r="D96" s="1" t="s">
        <v>92</v>
      </c>
      <c r="E96" s="1">
        <v>1034000000</v>
      </c>
      <c r="L96" s="24" t="s">
        <v>136</v>
      </c>
      <c r="M96" s="36">
        <v>8.4000000000000005E-2</v>
      </c>
    </row>
    <row r="97" spans="1:13" ht="20" x14ac:dyDescent="0.25">
      <c r="A97" s="5" t="s">
        <v>82</v>
      </c>
      <c r="B97" s="1" t="s">
        <v>92</v>
      </c>
      <c r="C97" s="1" t="s">
        <v>92</v>
      </c>
      <c r="D97" s="1" t="s">
        <v>92</v>
      </c>
      <c r="E97" s="1" t="s">
        <v>92</v>
      </c>
      <c r="L97" s="34" t="s">
        <v>137</v>
      </c>
      <c r="M97" s="35">
        <f>(M94)+((M95)*(M96-M94))</f>
        <v>0.10681650000000001</v>
      </c>
    </row>
    <row r="98" spans="1:13" ht="19" x14ac:dyDescent="0.25">
      <c r="A98" s="5" t="s">
        <v>83</v>
      </c>
      <c r="B98" s="1" t="s">
        <v>92</v>
      </c>
      <c r="C98" s="1" t="s">
        <v>92</v>
      </c>
      <c r="D98" s="1" t="s">
        <v>92</v>
      </c>
      <c r="E98" s="1">
        <v>-337000000</v>
      </c>
      <c r="L98" s="67" t="s">
        <v>138</v>
      </c>
      <c r="M98" s="68"/>
    </row>
    <row r="99" spans="1:13" ht="20" x14ac:dyDescent="0.25">
      <c r="A99" s="5" t="s">
        <v>84</v>
      </c>
      <c r="B99" s="1">
        <v>-59000000</v>
      </c>
      <c r="C99" s="1">
        <v>732000000</v>
      </c>
      <c r="D99" s="1">
        <v>91000000</v>
      </c>
      <c r="E99" s="1">
        <v>-2014000000</v>
      </c>
      <c r="L99" s="24" t="s">
        <v>139</v>
      </c>
      <c r="M99" s="25">
        <f>M86+M87</f>
        <v>0</v>
      </c>
    </row>
    <row r="100" spans="1:13" ht="20" x14ac:dyDescent="0.25">
      <c r="A100" s="6" t="s">
        <v>85</v>
      </c>
      <c r="B100" s="10">
        <v>-59000000</v>
      </c>
      <c r="C100" s="10">
        <v>732000000</v>
      </c>
      <c r="D100" s="10">
        <v>91000000</v>
      </c>
      <c r="E100" s="10">
        <v>-1317000000</v>
      </c>
      <c r="L100" s="32" t="s">
        <v>140</v>
      </c>
      <c r="M100" s="33">
        <f>M99/M103</f>
        <v>0</v>
      </c>
    </row>
    <row r="101" spans="1:13" ht="20" x14ac:dyDescent="0.25">
      <c r="A101" s="5" t="s">
        <v>86</v>
      </c>
      <c r="B101" s="1" t="s">
        <v>92</v>
      </c>
      <c r="C101" s="1" t="s">
        <v>92</v>
      </c>
      <c r="D101" s="1">
        <v>-1000000</v>
      </c>
      <c r="E101" s="1">
        <v>-6000000</v>
      </c>
      <c r="L101" s="24" t="s">
        <v>141</v>
      </c>
      <c r="M101" s="38" cm="1">
        <f t="array" ref="M101">_FV(A1,"Market cap",TRUE)</f>
        <v>34065230255</v>
      </c>
    </row>
    <row r="102" spans="1:13" ht="20" x14ac:dyDescent="0.25">
      <c r="A102" s="6" t="s">
        <v>87</v>
      </c>
      <c r="B102" s="10">
        <v>16000000</v>
      </c>
      <c r="C102" s="10">
        <v>38000000</v>
      </c>
      <c r="D102" s="10">
        <v>532000000</v>
      </c>
      <c r="E102" s="10">
        <v>410000000</v>
      </c>
      <c r="L102" s="32" t="s">
        <v>142</v>
      </c>
      <c r="M102" s="33">
        <f>M101/M103</f>
        <v>1</v>
      </c>
    </row>
    <row r="103" spans="1:13" ht="20" x14ac:dyDescent="0.25">
      <c r="A103" s="5" t="s">
        <v>88</v>
      </c>
      <c r="B103" s="1">
        <v>39000000</v>
      </c>
      <c r="C103" s="1">
        <v>55000000</v>
      </c>
      <c r="D103" s="1">
        <v>93000000</v>
      </c>
      <c r="E103" s="1">
        <v>625000000</v>
      </c>
      <c r="L103" s="34" t="s">
        <v>143</v>
      </c>
      <c r="M103" s="39">
        <f>M99+M101</f>
        <v>34065230255</v>
      </c>
    </row>
    <row r="104" spans="1:13" ht="20" thickBot="1" x14ac:dyDescent="0.3">
      <c r="A104" s="7" t="s">
        <v>89</v>
      </c>
      <c r="B104" s="11">
        <v>55000000</v>
      </c>
      <c r="C104" s="11">
        <v>93000000</v>
      </c>
      <c r="D104" s="11">
        <v>625000000</v>
      </c>
      <c r="E104" s="11">
        <v>1035000000</v>
      </c>
      <c r="L104" s="67" t="s">
        <v>144</v>
      </c>
      <c r="M104" s="68"/>
    </row>
    <row r="105" spans="1:13" ht="21" thickTop="1" x14ac:dyDescent="0.25">
      <c r="A105" s="14" t="s">
        <v>107</v>
      </c>
      <c r="B105" s="1"/>
      <c r="C105" s="15">
        <f>(C106/B106)-1</f>
        <v>-0.296875</v>
      </c>
      <c r="D105" s="15">
        <f>(D106/C106)-1</f>
        <v>1.5333333333333332</v>
      </c>
      <c r="E105" s="15">
        <f>(E106/D106)-1</f>
        <v>-4.6052631578947345E-2</v>
      </c>
      <c r="F105" s="71"/>
      <c r="G105" s="71"/>
      <c r="H105" s="71"/>
      <c r="I105" s="71"/>
      <c r="J105" s="71"/>
      <c r="K105" s="15"/>
      <c r="L105" s="26" t="s">
        <v>108</v>
      </c>
      <c r="M105" s="27">
        <f>(M100*M92)+(M102*M97)</f>
        <v>0.10681650000000001</v>
      </c>
    </row>
    <row r="106" spans="1:13" ht="19" x14ac:dyDescent="0.25">
      <c r="A106" s="5" t="s">
        <v>90</v>
      </c>
      <c r="B106" s="1">
        <v>256000000</v>
      </c>
      <c r="C106" s="1">
        <v>180000000</v>
      </c>
      <c r="D106" s="1">
        <v>456000000</v>
      </c>
      <c r="E106" s="1">
        <v>435000000</v>
      </c>
      <c r="F106" s="40">
        <f>E106*(1+$M$106)</f>
        <v>601818858.77911377</v>
      </c>
      <c r="G106" s="40">
        <f t="shared" ref="G106:J106" si="10">F106*(1+$M$106)</f>
        <v>832611353.52228701</v>
      </c>
      <c r="H106" s="40">
        <f t="shared" si="10"/>
        <v>1151910838.1225655</v>
      </c>
      <c r="I106" s="40">
        <f t="shared" si="10"/>
        <v>1593659002.3315282</v>
      </c>
      <c r="J106" s="40">
        <f t="shared" si="10"/>
        <v>2204813889.807405</v>
      </c>
      <c r="K106" s="41" t="s">
        <v>145</v>
      </c>
      <c r="L106" s="42" t="s">
        <v>146</v>
      </c>
      <c r="M106" s="43">
        <f>(SUM(F4:J4)/5)</f>
        <v>0.38349162937727299</v>
      </c>
    </row>
    <row r="107" spans="1:13" ht="19" x14ac:dyDescent="0.25">
      <c r="A107" s="5"/>
      <c r="B107" s="13"/>
      <c r="C107" s="13"/>
      <c r="D107" s="13"/>
      <c r="E107" s="13"/>
      <c r="F107" s="41"/>
      <c r="G107" s="41"/>
      <c r="H107" s="41"/>
      <c r="I107" s="41"/>
      <c r="J107" s="44">
        <f>J106*(1+M107)/(M108-M107)</f>
        <v>27621986238.137657</v>
      </c>
      <c r="K107" s="45" t="s">
        <v>147</v>
      </c>
      <c r="L107" s="46" t="s">
        <v>148</v>
      </c>
      <c r="M107" s="47">
        <v>2.5000000000000001E-2</v>
      </c>
    </row>
    <row r="108" spans="1:13" ht="19" x14ac:dyDescent="0.25">
      <c r="F108" s="44">
        <f t="shared" ref="F108:H108" si="11">F107+F106</f>
        <v>601818858.77911377</v>
      </c>
      <c r="G108" s="44">
        <f t="shared" si="11"/>
        <v>832611353.52228701</v>
      </c>
      <c r="H108" s="44">
        <f t="shared" si="11"/>
        <v>1151910838.1225655</v>
      </c>
      <c r="I108" s="44">
        <f>I107+I106</f>
        <v>1593659002.3315282</v>
      </c>
      <c r="J108" s="44">
        <f>J107+J106</f>
        <v>29826800127.945061</v>
      </c>
      <c r="K108" s="45" t="s">
        <v>143</v>
      </c>
      <c r="L108" s="48" t="s">
        <v>149</v>
      </c>
      <c r="M108" s="49">
        <f>M105</f>
        <v>0.10681650000000001</v>
      </c>
    </row>
    <row r="109" spans="1:13" ht="19" x14ac:dyDescent="0.25">
      <c r="F109" s="63" t="s">
        <v>150</v>
      </c>
      <c r="G109" s="64"/>
    </row>
    <row r="110" spans="1:13" ht="20" x14ac:dyDescent="0.25">
      <c r="F110" s="50" t="s">
        <v>151</v>
      </c>
      <c r="G110" s="38">
        <f>NPV(M108,F108,G108,H108,I108,J108)</f>
        <v>21091659491.498589</v>
      </c>
    </row>
    <row r="111" spans="1:13" ht="20" x14ac:dyDescent="0.25">
      <c r="F111" s="50" t="s">
        <v>152</v>
      </c>
      <c r="G111" s="38">
        <f>E40</f>
        <v>1024000000</v>
      </c>
    </row>
    <row r="112" spans="1:13" ht="20" x14ac:dyDescent="0.25">
      <c r="F112" s="50" t="s">
        <v>139</v>
      </c>
      <c r="G112" s="38">
        <f>M99</f>
        <v>0</v>
      </c>
    </row>
    <row r="113" spans="6:7" ht="20" x14ac:dyDescent="0.25">
      <c r="F113" s="50" t="s">
        <v>153</v>
      </c>
      <c r="G113" s="38">
        <f>G110+G111-G112</f>
        <v>22115659491.498589</v>
      </c>
    </row>
    <row r="114" spans="6:7" ht="20" x14ac:dyDescent="0.25">
      <c r="F114" s="50" t="s">
        <v>159</v>
      </c>
      <c r="G114" s="51" cm="1">
        <f t="array" ref="G114">_FV(A1,"Shares outstanding",TRUE)</f>
        <v>801912200</v>
      </c>
    </row>
    <row r="115" spans="6:7" ht="20" x14ac:dyDescent="0.25">
      <c r="F115" s="52" t="s">
        <v>154</v>
      </c>
      <c r="G115" s="53">
        <f>G113/G114</f>
        <v>27.578654485489295</v>
      </c>
    </row>
    <row r="116" spans="6:7" ht="20" x14ac:dyDescent="0.25">
      <c r="F116" s="50" t="s">
        <v>155</v>
      </c>
      <c r="G116" s="54" cm="1">
        <f t="array" ref="G116">_FV(A1,"Price")</f>
        <v>42.48</v>
      </c>
    </row>
    <row r="117" spans="6:7" ht="20" x14ac:dyDescent="0.25">
      <c r="F117" s="55" t="s">
        <v>156</v>
      </c>
      <c r="G117" s="56">
        <f>G115/G116-1</f>
        <v>-0.35078496973895257</v>
      </c>
    </row>
    <row r="118" spans="6:7" ht="20" x14ac:dyDescent="0.25">
      <c r="F118" s="55" t="s">
        <v>157</v>
      </c>
      <c r="G118" s="57" t="str">
        <f>IF(G115&gt;G116,"BUY","SELL")</f>
        <v>SELL</v>
      </c>
    </row>
  </sheetData>
  <mergeCells count="6">
    <mergeCell ref="F109:G109"/>
    <mergeCell ref="L83:M83"/>
    <mergeCell ref="L84:M84"/>
    <mergeCell ref="L93:M93"/>
    <mergeCell ref="L98:M98"/>
    <mergeCell ref="L104:M104"/>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2023-03-12T22:12:45Z</dcterms:created>
  <dcterms:modified xsi:type="dcterms:W3CDTF">2023-05-26T09:13:15Z</dcterms:modified>
</cp:coreProperties>
</file>