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9A92EE7-4E67-BB40-B656-F7BB47393FB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9" i="1" l="1"/>
  <c r="S108" i="1"/>
  <c r="S107" i="1"/>
  <c r="P114" i="1"/>
  <c r="P116" i="1" a="1"/>
  <c r="P116" i="1" s="1"/>
  <c r="V101" i="1" a="1"/>
  <c r="V101" i="1" s="1"/>
  <c r="V95" i="1" a="1"/>
  <c r="V95" i="1" s="1"/>
  <c r="V97" i="1" s="1"/>
  <c r="P111" i="1"/>
  <c r="V90" i="1"/>
  <c r="V91" i="1" s="1"/>
  <c r="V89" i="1"/>
  <c r="V87" i="1"/>
  <c r="V86" i="1"/>
  <c r="V99" i="1" s="1"/>
  <c r="V85" i="1"/>
  <c r="T19" i="1"/>
  <c r="T16" i="1"/>
  <c r="W13" i="1"/>
  <c r="V13" i="1"/>
  <c r="U13" i="1"/>
  <c r="T13" i="1"/>
  <c r="W10" i="1"/>
  <c r="V10" i="1"/>
  <c r="U10" i="1"/>
  <c r="T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V106" i="1" l="1"/>
  <c r="O106" i="1" s="1"/>
  <c r="P106" i="1" s="1"/>
  <c r="V88" i="1"/>
  <c r="V92" i="1" s="1"/>
  <c r="V16" i="1"/>
  <c r="W16" i="1"/>
  <c r="U16" i="1"/>
  <c r="V103" i="1"/>
  <c r="V102" i="1" s="1"/>
  <c r="P112" i="1"/>
  <c r="O108" i="1" l="1"/>
  <c r="Q106" i="1"/>
  <c r="R106" i="1" s="1"/>
  <c r="S106" i="1" s="1"/>
  <c r="P108" i="1"/>
  <c r="V100" i="1"/>
  <c r="V105" i="1" s="1"/>
  <c r="V108" i="1" s="1"/>
  <c r="Q108" i="1" l="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<sst xmlns="http://schemas.openxmlformats.org/spreadsheetml/2006/main" count="579" uniqueCount="161">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</sst>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xf numFmtId="171" fontId="11" fillId="0" borderId="11"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71" fontId="11" fillId="0" borderId="6"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SEDG</a:t>
            </a:r>
            <a:endParaRPr lang="en-US"/>
          </a:p>
        </c:rich>
      </c:tx>
      <c:layout>
        <c:manualLayout>
          <c:xMode val="edge"/>
          <c:yMode val="edge"/>
          <c:x val="0.46199997397019588"/>
          <c:y val="2.02874067032218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709090909090903E-2"/>
          <c:y val="0.11615667415744696"/>
          <c:w val="0.85278677685950399"/>
          <c:h val="0.77593633126655004"/>
        </c:manualLayout>
      </c:layout>
      <c:barChart>
        <c:barDir val="col"/>
        <c:grouping val="clustered"/>
        <c:varyColors val="0"/>
        <c:ser>
          <c:idx val="0"/>
          <c:order val="0"/>
          <c:tx>
            <c:strRef>
              <c:f>'Sheet 1'!$A$3:$C$3</c:f>
              <c:strCache>
                <c:ptCount val="3"/>
                <c:pt idx="0">
                  <c:v>Revenue</c:v>
                </c:pt>
                <c:pt idx="1">
                  <c:v>- -</c:v>
                </c:pt>
                <c:pt idx="2">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1'!$D$3:$N$3</c:f>
              <c:numCache>
                <c:formatCode>#,###,,;\(#,###,,\);\ \-\ \-</c:formatCode>
                <c:ptCount val="11"/>
                <c:pt idx="0">
                  <c:v>75351000</c:v>
                </c:pt>
                <c:pt idx="1">
                  <c:v>79035000</c:v>
                </c:pt>
                <c:pt idx="2">
                  <c:v>133217000</c:v>
                </c:pt>
                <c:pt idx="3">
                  <c:v>325078000</c:v>
                </c:pt>
                <c:pt idx="4">
                  <c:v>489843000</c:v>
                </c:pt>
                <c:pt idx="5">
                  <c:v>607045000</c:v>
                </c:pt>
                <c:pt idx="6">
                  <c:v>937237000</c:v>
                </c:pt>
                <c:pt idx="7">
                  <c:v>1425660000</c:v>
                </c:pt>
                <c:pt idx="8">
                  <c:v>1459271000</c:v>
                </c:pt>
                <c:pt idx="9">
                  <c:v>1963865000</c:v>
                </c:pt>
                <c:pt idx="10">
                  <c:v>3110279000</c:v>
                </c:pt>
              </c:numCache>
            </c:numRef>
          </c:val>
          <c:extLst>
            <c:ext xmlns:c16="http://schemas.microsoft.com/office/drawing/2014/chart" uri="{C3380CC4-5D6E-409C-BE32-E72D297353CC}">
              <c16:uniqueId val="{00000000-8DD2-0F4A-BB40-C5E52A76363B}"/>
            </c:ext>
          </c:extLst>
        </c:ser>
        <c:ser>
          <c:idx val="1"/>
          <c:order val="1"/>
          <c:tx>
            <c:strRef>
              <c:f>'Sheet 1'!$A$19:$C$19</c:f>
              <c:strCache>
                <c:ptCount val="3"/>
                <c:pt idx="0">
                  <c:v>EBITDA</c:v>
                </c:pt>
                <c:pt idx="1">
                  <c:v>- -</c:v>
                </c:pt>
                <c:pt idx="2">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1'!$D$19:$N$19</c:f>
              <c:numCache>
                <c:formatCode>#,###,,;\(#,###,,\);\ \-\ \-</c:formatCode>
                <c:ptCount val="11"/>
                <c:pt idx="0">
                  <c:v>-26406000</c:v>
                </c:pt>
                <c:pt idx="1">
                  <c:v>-25160000</c:v>
                </c:pt>
                <c:pt idx="2">
                  <c:v>-17190000</c:v>
                </c:pt>
                <c:pt idx="3">
                  <c:v>26224000</c:v>
                </c:pt>
                <c:pt idx="4">
                  <c:v>76077000</c:v>
                </c:pt>
                <c:pt idx="5">
                  <c:v>107399000</c:v>
                </c:pt>
                <c:pt idx="6">
                  <c:v>153065000</c:v>
                </c:pt>
                <c:pt idx="7">
                  <c:v>211895000</c:v>
                </c:pt>
                <c:pt idx="8">
                  <c:v>204015000</c:v>
                </c:pt>
                <c:pt idx="9">
                  <c:v>236038000</c:v>
                </c:pt>
                <c:pt idx="10">
                  <c:v>230147000</c:v>
                </c:pt>
              </c:numCache>
            </c:numRef>
          </c:val>
          <c:extLst>
            <c:ext xmlns:c16="http://schemas.microsoft.com/office/drawing/2014/chart" uri="{C3380CC4-5D6E-409C-BE32-E72D297353CC}">
              <c16:uniqueId val="{00000001-8DD2-0F4A-BB40-C5E52A76363B}"/>
            </c:ext>
          </c:extLst>
        </c:ser>
        <c:ser>
          <c:idx val="2"/>
          <c:order val="2"/>
          <c:tx>
            <c:strRef>
              <c:f>'Sheet 1'!$A$106:$C$106</c:f>
              <c:strCache>
                <c:ptCount val="3"/>
                <c:pt idx="0">
                  <c:v>Free Cash Flow</c:v>
                </c:pt>
                <c:pt idx="1">
                  <c:v>- -</c:v>
                </c:pt>
                <c:pt idx="2">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1'!$D$106:$N$106</c:f>
              <c:numCache>
                <c:formatCode>#,###,,;\(#,###,,\);\ \-\ \-</c:formatCode>
                <c:ptCount val="11"/>
                <c:pt idx="0">
                  <c:v>-26351000</c:v>
                </c:pt>
                <c:pt idx="1">
                  <c:v>-24646000</c:v>
                </c:pt>
                <c:pt idx="2">
                  <c:v>-20835000</c:v>
                </c:pt>
                <c:pt idx="3">
                  <c:v>289000</c:v>
                </c:pt>
                <c:pt idx="4">
                  <c:v>35937000</c:v>
                </c:pt>
                <c:pt idx="5">
                  <c:v>115283000</c:v>
                </c:pt>
                <c:pt idx="6">
                  <c:v>150471000</c:v>
                </c:pt>
                <c:pt idx="7">
                  <c:v>186438000</c:v>
                </c:pt>
                <c:pt idx="8">
                  <c:v>95865000</c:v>
                </c:pt>
                <c:pt idx="9">
                  <c:v>64878000</c:v>
                </c:pt>
                <c:pt idx="10">
                  <c:v>-138057000</c:v>
                </c:pt>
              </c:numCache>
            </c:numRef>
          </c:val>
          <c:extLst>
            <c:ext xmlns:c16="http://schemas.microsoft.com/office/drawing/2014/chart" uri="{C3380CC4-5D6E-409C-BE32-E72D297353CC}">
              <c16:uniqueId val="{00000002-8DD2-0F4A-BB40-C5E52A76363B}"/>
            </c:ext>
          </c:extLst>
        </c:ser>
        <c:dLbls>
          <c:showLegendKey val="0"/>
          <c:showVal val="0"/>
          <c:showCatName val="0"/>
          <c:showSerName val="0"/>
          <c:showPercent val="0"/>
          <c:showBubbleSize val="0"/>
        </c:dLbls>
        <c:gapWidth val="100"/>
        <c:overlap val="-24"/>
        <c:axId val="1505100384"/>
        <c:axId val="1440895872"/>
      </c:barChart>
      <c:catAx>
        <c:axId val="1505100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0895872"/>
        <c:crosses val="autoZero"/>
        <c:auto val="1"/>
        <c:lblAlgn val="ctr"/>
        <c:lblOffset val="100"/>
        <c:noMultiLvlLbl val="0"/>
      </c:catAx>
      <c:valAx>
        <c:axId val="144089587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00384"/>
        <c:crosses val="autoZero"/>
        <c:crossBetween val="between"/>
      </c:valAx>
      <c:spPr>
        <a:noFill/>
        <a:ln>
          <a:noFill/>
        </a:ln>
        <a:effectLst/>
      </c:spPr>
    </c:plotArea>
    <c:legend>
      <c:legendPos val="b"/>
      <c:layout>
        <c:manualLayout>
          <c:xMode val="edge"/>
          <c:yMode val="edge"/>
          <c:x val="0.2916023166525672"/>
          <c:y val="0.91772666739675302"/>
          <c:w val="0.42472925099238634"/>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15874</xdr:colOff>
      <xdr:row>108</xdr:row>
      <xdr:rowOff>17462</xdr:rowOff>
    </xdr:from>
    <xdr:to>
      <xdr:col>21</xdr:col>
      <xdr:colOff>1603374</xdr:colOff>
      <xdr:row>133</xdr:row>
      <xdr:rowOff>31749</xdr:rowOff>
    </xdr:to>
    <xdr:graphicFrame macro="">
      <xdr:nvGraphicFramePr>
        <xdr:cNvPr id="2" name="Chart 1">
          <a:extLst>
            <a:ext uri="{FF2B5EF4-FFF2-40B4-BE49-F238E27FC236}">
              <a16:creationId xmlns:a16="http://schemas.microsoft.com/office/drawing/2014/main" id="{247CD69B-C00D-FF49-4278-24261129E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https://www.bing.com/financeapi/forcetrigger?t=a22ra2&amp;q=XNAS%3aSEDG&amp;form=skydnc</v>
    <v>Learn more on Bing</v>
  </rv>
  <rv s="1">
    <v>0</v>
    <v>SOLAREDGE TECHNOLOGIES, INC. (XNAS:SEDG)</v>
    <v>2</v>
    <v>3</v>
    <v>Finance</v>
    <v>4</v>
    <v>en-US</v>
    <v>a22ra2</v>
    <v>268435456</v>
    <v>1</v>
    <v>Powered by Refinitiv</v>
    <v>375.9</v>
    <v>190.15</v>
    <v>1.4195</v>
    <v>8.76</v>
    <v>3.0395999999999999E-2</v>
    <v>-0.86</v>
    <v>-2.8960000000000001E-3</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297.57</v>
    <v>Renewable Energy</v>
    <v>Stock</v>
    <v>45071.981041423438</v>
    <v>0</v>
    <v>287.11009999999999</v>
    <v>16732131020</v>
    <v>SOLAREDGE TECHNOLOGIES, INC.</v>
    <v>SOLAREDGE TECHNOLOGIES, INC.</v>
    <v>290</v>
    <v>87.122600000000006</v>
    <v>288.2</v>
    <v>296.95999999999998</v>
    <v>296.10000000000002</v>
    <v>56344730</v>
    <v>SEDG</v>
    <v>SOLAREDGE TECHNOLOGIES, INC. (XNAS:SEDG)</v>
    <v>1049292</v>
    <v>1183282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419612/000117891315002692/0001178913-15-002692-index.htm" TargetMode="External"/><Relationship Id="rId18" Type="http://schemas.openxmlformats.org/officeDocument/2006/relationships/hyperlink" Target="https://www.sec.gov/Archives/edgar/data/1419612/000117891319000721/0001178913-19-000721-index.htm" TargetMode="External"/><Relationship Id="rId26" Type="http://schemas.openxmlformats.org/officeDocument/2006/relationships/hyperlink" Target="https://www.sec.gov/Archives/edgar/data/1419612/000117891323000707/0001178913-23-00070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19612/000117891320000672/0001178913-20-000672-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19612/000117891315002692/0001178913-15-002692-index.htm" TargetMode="External"/><Relationship Id="rId17" Type="http://schemas.openxmlformats.org/officeDocument/2006/relationships/hyperlink" Target="https://www.sec.gov/Archives/edgar/data/1419612/000117891318000655/0001178913-18-000655-index.htm" TargetMode="External"/><Relationship Id="rId25" Type="http://schemas.openxmlformats.org/officeDocument/2006/relationships/hyperlink" Target="https://www.sec.gov/Archives/edgar/data/1419612/000117891322000760/0001178913-22-00076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9612/000117891318000655/0001178913-18-000655-index.htm" TargetMode="External"/><Relationship Id="rId20" Type="http://schemas.openxmlformats.org/officeDocument/2006/relationships/hyperlink" Target="https://www.sec.gov/Archives/edgar/data/1419612/000117891320000672/0001178913-20-000672-index.htm" TargetMode="External"/><Relationship Id="rId29" Type="http://schemas.openxmlformats.org/officeDocument/2006/relationships/drawing" Target="../drawings/drawing1.xml"/><Relationship Id="rId1" Type="http://schemas.openxmlformats.org/officeDocument/2006/relationships/hyperlink" Target="https://roic.ai/company/SED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19612/000117891322000760/0001178913-22-000760-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9612/000117891316006268/0001178913-16-006268-index.htm" TargetMode="External"/><Relationship Id="rId23" Type="http://schemas.openxmlformats.org/officeDocument/2006/relationships/hyperlink" Target="https://www.sec.gov/Archives/edgar/data/1419612/000117891321000696/0001178913-21-000696-index.htm" TargetMode="External"/><Relationship Id="rId28" Type="http://schemas.openxmlformats.org/officeDocument/2006/relationships/hyperlink" Target="https://finbox.com/NASDAQGS:SEDG/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19612/000117891319000721/0001178913-19-00072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19612/000117891316006268/0001178913-16-006268-index.htm" TargetMode="External"/><Relationship Id="rId22" Type="http://schemas.openxmlformats.org/officeDocument/2006/relationships/hyperlink" Target="https://www.sec.gov/Archives/edgar/data/1419612/000117891321000696/0001178913-21-000696-index.htm" TargetMode="External"/><Relationship Id="rId27" Type="http://schemas.openxmlformats.org/officeDocument/2006/relationships/hyperlink" Target="https://www.sec.gov/Archives/edgar/data/1419612/000117891323000707/0001178913-23-0007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L2" activePane="bottomRight" state="frozen"/>
      <selection pane="topRight"/>
      <selection pane="bottomLeft"/>
      <selection pane="bottomRight" activeCell="S13" sqref="S13"/>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2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c r="T2" s="9"/>
      <c r="U2" s="9"/>
      <c r="V2" s="9"/>
      <c r="W2" s="9"/>
    </row>
    <row r="3" spans="1:23" ht="40" x14ac:dyDescent="0.25">
      <c r="A3" s="5" t="s">
        <v>1</v>
      </c>
      <c r="B3" s="1" t="s">
        <v>92</v>
      </c>
      <c r="C3" s="1" t="s">
        <v>92</v>
      </c>
      <c r="D3" s="1">
        <v>75351000</v>
      </c>
      <c r="E3" s="1">
        <v>79035000</v>
      </c>
      <c r="F3" s="1">
        <v>133217000</v>
      </c>
      <c r="G3" s="1">
        <v>325078000</v>
      </c>
      <c r="H3" s="1">
        <v>489843000</v>
      </c>
      <c r="I3" s="1">
        <v>607045000</v>
      </c>
      <c r="J3" s="1">
        <v>937237000</v>
      </c>
      <c r="K3" s="1">
        <v>1425660000</v>
      </c>
      <c r="L3" s="1">
        <v>1459271000</v>
      </c>
      <c r="M3" s="1">
        <v>1963865000</v>
      </c>
      <c r="N3" s="1">
        <v>3110279000</v>
      </c>
      <c r="O3" s="27">
        <v>4117000000</v>
      </c>
      <c r="P3" s="27">
        <v>5002000000</v>
      </c>
      <c r="Q3" s="27">
        <v>5832000000</v>
      </c>
      <c r="R3" s="27">
        <v>6592000000</v>
      </c>
      <c r="S3" s="27">
        <v>7010000000</v>
      </c>
      <c r="T3" s="18" t="s">
        <v>109</v>
      </c>
      <c r="U3" s="19" t="s">
        <v>110</v>
      </c>
      <c r="V3" s="19" t="s">
        <v>111</v>
      </c>
      <c r="W3" s="19" t="s">
        <v>112</v>
      </c>
    </row>
    <row r="4" spans="1:23" ht="19" x14ac:dyDescent="0.25">
      <c r="A4" s="14" t="s">
        <v>94</v>
      </c>
      <c r="B4" s="1"/>
      <c r="C4" s="15" t="e">
        <f>(C3/B3)-1</f>
        <v>#VALUE!</v>
      </c>
      <c r="D4" s="15" t="e">
        <f>(D3/C3)-1</f>
        <v>#VALUE!</v>
      </c>
      <c r="E4" s="15">
        <f>(E3/D3)-1</f>
        <v>4.889118923438307E-2</v>
      </c>
      <c r="F4" s="15">
        <f t="shared" ref="F4:S4" si="0">(F3/E3)-1</f>
        <v>0.68554437907256283</v>
      </c>
      <c r="G4" s="15">
        <f t="shared" si="0"/>
        <v>1.4402140867907249</v>
      </c>
      <c r="H4" s="16">
        <f t="shared" si="0"/>
        <v>0.50684758734826718</v>
      </c>
      <c r="I4" s="16">
        <f t="shared" si="0"/>
        <v>0.23926441737454662</v>
      </c>
      <c r="J4" s="16">
        <f t="shared" si="0"/>
        <v>0.54393331631098185</v>
      </c>
      <c r="K4" s="16">
        <f t="shared" si="0"/>
        <v>0.52113072787352621</v>
      </c>
      <c r="L4" s="16">
        <f t="shared" si="0"/>
        <v>2.3575747373146383E-2</v>
      </c>
      <c r="M4" s="16">
        <f t="shared" si="0"/>
        <v>0.34578498442030292</v>
      </c>
      <c r="N4" s="16">
        <f t="shared" si="0"/>
        <v>0.58375397494226955</v>
      </c>
      <c r="O4" s="16">
        <f t="shared" si="0"/>
        <v>0.32367546448405426</v>
      </c>
      <c r="P4" s="16">
        <f t="shared" si="0"/>
        <v>0.21496235122662122</v>
      </c>
      <c r="Q4" s="16">
        <f t="shared" si="0"/>
        <v>0.16593362654938026</v>
      </c>
      <c r="R4" s="16">
        <f t="shared" si="0"/>
        <v>0.13031550068587117</v>
      </c>
      <c r="S4" s="16">
        <f t="shared" si="0"/>
        <v>6.3410194174757351E-2</v>
      </c>
      <c r="T4" s="17">
        <f>(N4+M4+L4)/3</f>
        <v>0.31770490224523962</v>
      </c>
      <c r="U4" s="17">
        <f>(N20+M20+L20)/3</f>
        <v>3.1605957646359539E-2</v>
      </c>
      <c r="V4" s="17">
        <f>(N29+M29+L29)/3</f>
        <v>-9.4186303642072769E-2</v>
      </c>
      <c r="W4" s="17">
        <f>(N105+M105+L105)/3</f>
        <v>-1.3123304184113571</v>
      </c>
    </row>
    <row r="5" spans="1:23" ht="19" x14ac:dyDescent="0.25">
      <c r="A5" s="5" t="s">
        <v>2</v>
      </c>
      <c r="B5" s="1" t="s">
        <v>92</v>
      </c>
      <c r="C5" s="1" t="s">
        <v>92</v>
      </c>
      <c r="D5" s="1">
        <v>76028000</v>
      </c>
      <c r="E5" s="1">
        <v>74626000</v>
      </c>
      <c r="F5" s="1">
        <v>111246000</v>
      </c>
      <c r="G5" s="1">
        <v>243295000</v>
      </c>
      <c r="H5" s="1">
        <v>337887000</v>
      </c>
      <c r="I5" s="1">
        <v>392279000</v>
      </c>
      <c r="J5" s="1">
        <v>618001000</v>
      </c>
      <c r="K5" s="1">
        <v>946322000</v>
      </c>
      <c r="L5" s="1">
        <v>997912000</v>
      </c>
      <c r="M5" s="1">
        <v>1334547000</v>
      </c>
      <c r="N5" s="1">
        <v>2265631000</v>
      </c>
    </row>
    <row r="6" spans="1:23" ht="20" x14ac:dyDescent="0.25">
      <c r="A6" s="6" t="s">
        <v>3</v>
      </c>
      <c r="B6" s="10" t="s">
        <v>92</v>
      </c>
      <c r="C6" s="10" t="s">
        <v>92</v>
      </c>
      <c r="D6" s="10">
        <v>-677000</v>
      </c>
      <c r="E6" s="10">
        <v>4409000</v>
      </c>
      <c r="F6" s="10">
        <v>21971000</v>
      </c>
      <c r="G6" s="10">
        <v>81783000</v>
      </c>
      <c r="H6" s="10">
        <v>151956000</v>
      </c>
      <c r="I6" s="10">
        <v>214766000</v>
      </c>
      <c r="J6" s="10">
        <v>319236000</v>
      </c>
      <c r="K6" s="10">
        <v>479338000</v>
      </c>
      <c r="L6" s="10">
        <v>461359000</v>
      </c>
      <c r="M6" s="10">
        <v>629318000</v>
      </c>
      <c r="N6" s="10">
        <v>844648000</v>
      </c>
      <c r="T6" s="18" t="s">
        <v>113</v>
      </c>
      <c r="U6" s="19" t="s">
        <v>114</v>
      </c>
      <c r="V6" s="19" t="s">
        <v>115</v>
      </c>
      <c r="W6" s="19" t="s">
        <v>116</v>
      </c>
    </row>
    <row r="7" spans="1:23" ht="19" x14ac:dyDescent="0.25">
      <c r="A7" s="5" t="s">
        <v>4</v>
      </c>
      <c r="B7" s="2" t="s">
        <v>92</v>
      </c>
      <c r="C7" s="2" t="s">
        <v>92</v>
      </c>
      <c r="D7" s="2">
        <v>-8.9999999999999993E-3</v>
      </c>
      <c r="E7" s="2">
        <v>5.5800000000000002E-2</v>
      </c>
      <c r="F7" s="2">
        <v>0.16489999999999999</v>
      </c>
      <c r="G7" s="2">
        <v>0.25159999999999999</v>
      </c>
      <c r="H7" s="2">
        <v>0.31019999999999998</v>
      </c>
      <c r="I7" s="2">
        <v>0.3538</v>
      </c>
      <c r="J7" s="2">
        <v>0.34060000000000001</v>
      </c>
      <c r="K7" s="2">
        <v>0.3362</v>
      </c>
      <c r="L7" s="2">
        <v>0.31619999999999998</v>
      </c>
      <c r="M7" s="2">
        <v>0.32040000000000002</v>
      </c>
      <c r="N7" s="2">
        <v>0.27160000000000001</v>
      </c>
      <c r="T7" s="17">
        <f>N7</f>
        <v>0.27160000000000001</v>
      </c>
      <c r="U7" s="20">
        <f>N21</f>
        <v>7.3999999999999996E-2</v>
      </c>
      <c r="V7" s="20">
        <f>N30</f>
        <v>3.0200000000000001E-2</v>
      </c>
      <c r="W7" s="20">
        <f>N106/N3</f>
        <v>-4.4387336312915977E-2</v>
      </c>
    </row>
    <row r="8" spans="1:23" ht="19" x14ac:dyDescent="0.25">
      <c r="A8" s="5" t="s">
        <v>5</v>
      </c>
      <c r="B8" s="1" t="s">
        <v>92</v>
      </c>
      <c r="C8" s="1" t="s">
        <v>92</v>
      </c>
      <c r="D8" s="1">
        <v>13783000</v>
      </c>
      <c r="E8" s="1">
        <v>15823000</v>
      </c>
      <c r="F8" s="1">
        <v>18256000</v>
      </c>
      <c r="G8" s="1">
        <v>22018000</v>
      </c>
      <c r="H8" s="1">
        <v>33231000</v>
      </c>
      <c r="I8" s="1">
        <v>54966000</v>
      </c>
      <c r="J8" s="1">
        <v>82245000</v>
      </c>
      <c r="K8" s="1">
        <v>121351000</v>
      </c>
      <c r="L8" s="1">
        <v>163123000</v>
      </c>
      <c r="M8" s="1">
        <v>219633000</v>
      </c>
      <c r="N8" s="1">
        <v>289814000</v>
      </c>
    </row>
    <row r="9" spans="1:23" ht="19" customHeight="1" x14ac:dyDescent="0.25">
      <c r="A9" s="14" t="s">
        <v>95</v>
      </c>
      <c r="B9" s="15" t="e">
        <f>B8/B3</f>
        <v>#VALUE!</v>
      </c>
      <c r="C9" s="15" t="e">
        <f t="shared" ref="C9:N9" si="1">C8/C3</f>
        <v>#VALUE!</v>
      </c>
      <c r="D9" s="15">
        <f t="shared" si="1"/>
        <v>0.1829172804607769</v>
      </c>
      <c r="E9" s="15">
        <f t="shared" si="1"/>
        <v>0.20020244195609541</v>
      </c>
      <c r="F9" s="15">
        <f t="shared" si="1"/>
        <v>0.13703956702222689</v>
      </c>
      <c r="G9" s="15">
        <f t="shared" si="1"/>
        <v>6.7731436762869218E-2</v>
      </c>
      <c r="H9" s="15">
        <f t="shared" si="1"/>
        <v>6.7840103870015489E-2</v>
      </c>
      <c r="I9" s="15">
        <f t="shared" si="1"/>
        <v>9.0546829312489183E-2</v>
      </c>
      <c r="J9" s="15">
        <f t="shared" si="1"/>
        <v>8.7752617534305619E-2</v>
      </c>
      <c r="K9" s="15">
        <f t="shared" si="1"/>
        <v>8.5119172874317861E-2</v>
      </c>
      <c r="L9" s="15">
        <f t="shared" si="1"/>
        <v>0.11178389757625554</v>
      </c>
      <c r="M9" s="15">
        <f t="shared" si="1"/>
        <v>0.11183711711344721</v>
      </c>
      <c r="N9" s="15">
        <f t="shared" si="1"/>
        <v>9.3179422167593326E-2</v>
      </c>
      <c r="T9" s="18" t="s">
        <v>96</v>
      </c>
      <c r="U9" s="19" t="s">
        <v>97</v>
      </c>
      <c r="V9" s="19" t="s">
        <v>98</v>
      </c>
      <c r="W9" s="19" t="s">
        <v>99</v>
      </c>
    </row>
    <row r="10" spans="1:23" ht="19" x14ac:dyDescent="0.25">
      <c r="A10" s="5" t="s">
        <v>6</v>
      </c>
      <c r="B10" s="1" t="s">
        <v>92</v>
      </c>
      <c r="C10" s="1" t="s">
        <v>92</v>
      </c>
      <c r="D10" s="1">
        <v>3074000</v>
      </c>
      <c r="E10" s="1">
        <v>3262000</v>
      </c>
      <c r="F10" s="1">
        <v>4294000</v>
      </c>
      <c r="G10" s="1">
        <v>6535000</v>
      </c>
      <c r="H10" s="1">
        <v>12133000</v>
      </c>
      <c r="I10" s="1">
        <v>18682000</v>
      </c>
      <c r="J10" s="1">
        <v>29264000</v>
      </c>
      <c r="K10" s="1">
        <v>49361000</v>
      </c>
      <c r="L10" s="1">
        <v>63119000</v>
      </c>
      <c r="M10" s="1">
        <v>82196000</v>
      </c>
      <c r="N10" s="1">
        <v>112496000</v>
      </c>
      <c r="T10" s="17">
        <f>N9</f>
        <v>9.3179422167593326E-2</v>
      </c>
      <c r="U10" s="20">
        <f>N13</f>
        <v>8.7508548268499381E-2</v>
      </c>
      <c r="V10" s="20">
        <f>N80</f>
        <v>4.6792908288934849E-2</v>
      </c>
      <c r="W10" s="20">
        <f>N89</f>
        <v>5.4445597967256315E-2</v>
      </c>
    </row>
    <row r="11" spans="1:23" ht="19" x14ac:dyDescent="0.25">
      <c r="A11" s="5" t="s">
        <v>7</v>
      </c>
      <c r="B11" s="1" t="s">
        <v>92</v>
      </c>
      <c r="C11" s="1" t="s">
        <v>92</v>
      </c>
      <c r="D11" s="1">
        <v>9926000</v>
      </c>
      <c r="E11" s="1">
        <v>12784000</v>
      </c>
      <c r="F11" s="1">
        <v>17792000</v>
      </c>
      <c r="G11" s="1">
        <v>24973000</v>
      </c>
      <c r="H11" s="1">
        <v>34833000</v>
      </c>
      <c r="I11" s="1">
        <v>50032000</v>
      </c>
      <c r="J11" s="1">
        <v>68307000</v>
      </c>
      <c r="K11" s="1">
        <v>87984000</v>
      </c>
      <c r="L11" s="1">
        <v>95985000</v>
      </c>
      <c r="M11" s="1">
        <v>119000000</v>
      </c>
      <c r="N11" s="1">
        <v>159680000</v>
      </c>
    </row>
    <row r="12" spans="1:23" ht="20" x14ac:dyDescent="0.25">
      <c r="A12" s="5" t="s">
        <v>8</v>
      </c>
      <c r="B12" s="1" t="s">
        <v>92</v>
      </c>
      <c r="C12" s="1" t="s">
        <v>92</v>
      </c>
      <c r="D12" s="1">
        <v>13000000</v>
      </c>
      <c r="E12" s="1">
        <v>16046000</v>
      </c>
      <c r="F12" s="1">
        <v>22086000</v>
      </c>
      <c r="G12" s="1">
        <v>31508000</v>
      </c>
      <c r="H12" s="1">
        <v>46966000</v>
      </c>
      <c r="I12" s="1">
        <v>68714000</v>
      </c>
      <c r="J12" s="1">
        <v>97571000</v>
      </c>
      <c r="K12" s="1">
        <v>137345000</v>
      </c>
      <c r="L12" s="1">
        <v>159104000</v>
      </c>
      <c r="M12" s="1">
        <v>201196000</v>
      </c>
      <c r="N12" s="1">
        <v>272176000</v>
      </c>
      <c r="T12" s="18" t="s">
        <v>117</v>
      </c>
      <c r="U12" s="19" t="s">
        <v>118</v>
      </c>
      <c r="V12" s="19" t="s">
        <v>119</v>
      </c>
      <c r="W12" s="19" t="s">
        <v>120</v>
      </c>
    </row>
    <row r="13" spans="1:23" ht="19" x14ac:dyDescent="0.25">
      <c r="A13" s="14" t="s">
        <v>100</v>
      </c>
      <c r="B13" s="15" t="e">
        <f>B12/B3</f>
        <v>#VALUE!</v>
      </c>
      <c r="C13" s="15" t="e">
        <f t="shared" ref="C13:N13" si="2">C12/C3</f>
        <v>#VALUE!</v>
      </c>
      <c r="D13" s="15">
        <f t="shared" si="2"/>
        <v>0.17252591206486975</v>
      </c>
      <c r="E13" s="15">
        <f t="shared" si="2"/>
        <v>0.20302397671917505</v>
      </c>
      <c r="F13" s="15">
        <f t="shared" si="2"/>
        <v>0.16578965147090838</v>
      </c>
      <c r="G13" s="15">
        <f t="shared" si="2"/>
        <v>9.6924430444385659E-2</v>
      </c>
      <c r="H13" s="15">
        <f t="shared" si="2"/>
        <v>9.5879700230482007E-2</v>
      </c>
      <c r="I13" s="15">
        <f t="shared" si="2"/>
        <v>0.11319424424877893</v>
      </c>
      <c r="J13" s="15">
        <f t="shared" si="2"/>
        <v>0.10410493823867389</v>
      </c>
      <c r="K13" s="15">
        <f t="shared" si="2"/>
        <v>9.633783651080903E-2</v>
      </c>
      <c r="L13" s="15">
        <f t="shared" si="2"/>
        <v>0.10902978267915966</v>
      </c>
      <c r="M13" s="15">
        <f t="shared" si="2"/>
        <v>0.10244899725795815</v>
      </c>
      <c r="N13" s="15">
        <f t="shared" si="2"/>
        <v>8.7508548268499381E-2</v>
      </c>
      <c r="T13" s="17">
        <f>N28/N72</f>
        <v>4.3089719284348314E-2</v>
      </c>
      <c r="U13" s="20">
        <f>N28/N54</f>
        <v>2.198315075965512E-2</v>
      </c>
      <c r="V13" s="20">
        <f>N22/(N72+N56+N61)</f>
        <v>5.7432121745588011E-2</v>
      </c>
      <c r="W13" s="68">
        <f>N67/N72</f>
        <v>0.96012481356536539</v>
      </c>
    </row>
    <row r="14" spans="1:23" ht="19" x14ac:dyDescent="0.25">
      <c r="A14" s="5" t="s">
        <v>9</v>
      </c>
      <c r="B14" s="1" t="s">
        <v>92</v>
      </c>
      <c r="C14" s="1" t="s">
        <v>92</v>
      </c>
      <c r="D14" s="1" t="s">
        <v>92</v>
      </c>
      <c r="E14" s="1" t="s">
        <v>92</v>
      </c>
      <c r="F14" s="1" t="s">
        <v>92</v>
      </c>
      <c r="G14" s="1" t="s">
        <v>92</v>
      </c>
      <c r="H14" s="1" t="s">
        <v>92</v>
      </c>
      <c r="I14" s="1" t="s">
        <v>92</v>
      </c>
      <c r="J14" s="1" t="s">
        <v>92</v>
      </c>
      <c r="K14" s="1">
        <v>30696000</v>
      </c>
      <c r="L14" s="1">
        <v>-3429000</v>
      </c>
      <c r="M14" s="1" t="s">
        <v>92</v>
      </c>
      <c r="N14" s="1">
        <v>116538000</v>
      </c>
    </row>
    <row r="15" spans="1:23" ht="20" x14ac:dyDescent="0.25">
      <c r="A15" s="5" t="s">
        <v>10</v>
      </c>
      <c r="B15" s="1" t="s">
        <v>92</v>
      </c>
      <c r="C15" s="1" t="s">
        <v>92</v>
      </c>
      <c r="D15" s="1">
        <v>26783000</v>
      </c>
      <c r="E15" s="1">
        <v>31869000</v>
      </c>
      <c r="F15" s="1">
        <v>40342000</v>
      </c>
      <c r="G15" s="1">
        <v>53526000</v>
      </c>
      <c r="H15" s="1">
        <v>80197000</v>
      </c>
      <c r="I15" s="1">
        <v>123680000</v>
      </c>
      <c r="J15" s="1">
        <v>179816000</v>
      </c>
      <c r="K15" s="1">
        <v>289392000</v>
      </c>
      <c r="L15" s="1">
        <v>318798000</v>
      </c>
      <c r="M15" s="1">
        <v>420829000</v>
      </c>
      <c r="N15" s="1">
        <v>678528000</v>
      </c>
      <c r="T15" s="18" t="s">
        <v>121</v>
      </c>
      <c r="U15" s="19" t="s">
        <v>122</v>
      </c>
      <c r="V15" s="19" t="s">
        <v>123</v>
      </c>
      <c r="W15" s="19" t="s">
        <v>124</v>
      </c>
    </row>
    <row r="16" spans="1:23" ht="19" x14ac:dyDescent="0.25">
      <c r="A16" s="5" t="s">
        <v>11</v>
      </c>
      <c r="B16" s="1" t="s">
        <v>92</v>
      </c>
      <c r="C16" s="1" t="s">
        <v>92</v>
      </c>
      <c r="D16" s="1">
        <v>102811000</v>
      </c>
      <c r="E16" s="1">
        <v>106495000</v>
      </c>
      <c r="F16" s="1">
        <v>151588000</v>
      </c>
      <c r="G16" s="1">
        <v>296821000</v>
      </c>
      <c r="H16" s="1">
        <v>418084000</v>
      </c>
      <c r="I16" s="1">
        <v>515959000</v>
      </c>
      <c r="J16" s="1">
        <v>797817000</v>
      </c>
      <c r="K16" s="1">
        <v>1235714000</v>
      </c>
      <c r="L16" s="1">
        <v>1316710000</v>
      </c>
      <c r="M16" s="1">
        <v>1755376000</v>
      </c>
      <c r="N16" s="1">
        <v>2944159000</v>
      </c>
      <c r="T16" s="28">
        <f>(N35+M35+L35+K35+J35)/5</f>
        <v>5.0939451955917724E-2</v>
      </c>
      <c r="U16" s="66">
        <f>V101/N3</f>
        <v>5.3796238279588424</v>
      </c>
      <c r="V16" s="66">
        <f>V101/N28</f>
        <v>178.42087269004787</v>
      </c>
      <c r="W16" s="67">
        <f>V101/N106</f>
        <v>-121.19726649137675</v>
      </c>
    </row>
    <row r="17" spans="1:21" ht="19" x14ac:dyDescent="0.25">
      <c r="A17" s="5" t="s">
        <v>12</v>
      </c>
      <c r="B17" s="1" t="s">
        <v>92</v>
      </c>
      <c r="C17" s="1" t="s">
        <v>92</v>
      </c>
      <c r="D17" s="1">
        <v>58000</v>
      </c>
      <c r="E17" s="1">
        <v>1070000</v>
      </c>
      <c r="F17" s="1">
        <v>1990000</v>
      </c>
      <c r="G17" s="1">
        <v>895000</v>
      </c>
      <c r="H17" s="1" t="s">
        <v>92</v>
      </c>
      <c r="I17" s="1" t="s">
        <v>92</v>
      </c>
      <c r="J17" s="1">
        <v>2536000</v>
      </c>
      <c r="K17" s="1">
        <v>4805000</v>
      </c>
      <c r="L17" s="1">
        <v>8515000</v>
      </c>
      <c r="M17" s="1">
        <v>9279000</v>
      </c>
      <c r="N17" s="1">
        <v>3316000</v>
      </c>
    </row>
    <row r="18" spans="1:21" ht="20" x14ac:dyDescent="0.25">
      <c r="A18" s="5" t="s">
        <v>13</v>
      </c>
      <c r="B18" s="1" t="s">
        <v>92</v>
      </c>
      <c r="C18" s="1" t="s">
        <v>92</v>
      </c>
      <c r="D18" s="1">
        <v>1283000</v>
      </c>
      <c r="E18" s="1">
        <v>1842000</v>
      </c>
      <c r="F18" s="1">
        <v>1978000</v>
      </c>
      <c r="G18" s="1">
        <v>2253000</v>
      </c>
      <c r="H18" s="1">
        <v>3847000</v>
      </c>
      <c r="I18" s="1">
        <v>7155000</v>
      </c>
      <c r="J18" s="1">
        <v>12619000</v>
      </c>
      <c r="K18" s="1">
        <v>26895000</v>
      </c>
      <c r="L18" s="1">
        <v>31834000</v>
      </c>
      <c r="M18" s="1">
        <v>39535000</v>
      </c>
      <c r="N18" s="1">
        <v>49676000</v>
      </c>
      <c r="T18" s="18" t="s">
        <v>125</v>
      </c>
      <c r="U18" s="19" t="s">
        <v>122</v>
      </c>
    </row>
    <row r="19" spans="1:21" ht="19" x14ac:dyDescent="0.25">
      <c r="A19" s="6" t="s">
        <v>14</v>
      </c>
      <c r="B19" s="10" t="s">
        <v>92</v>
      </c>
      <c r="C19" s="10" t="s">
        <v>92</v>
      </c>
      <c r="D19" s="10">
        <v>-26406000</v>
      </c>
      <c r="E19" s="10">
        <v>-25160000</v>
      </c>
      <c r="F19" s="10">
        <v>-17190000</v>
      </c>
      <c r="G19" s="10">
        <v>26224000</v>
      </c>
      <c r="H19" s="10">
        <v>76077000</v>
      </c>
      <c r="I19" s="10">
        <v>107399000</v>
      </c>
      <c r="J19" s="10">
        <v>153065000</v>
      </c>
      <c r="K19" s="10">
        <v>211895000</v>
      </c>
      <c r="L19" s="10">
        <v>204015000</v>
      </c>
      <c r="M19" s="10">
        <v>236038000</v>
      </c>
      <c r="N19" s="10">
        <v>230147000</v>
      </c>
      <c r="T19" s="29">
        <f>N40-N56-N61</f>
        <v>308137000</v>
      </c>
      <c r="U19" s="69">
        <f>V101/O3</f>
        <v>4.0641561865435998</v>
      </c>
    </row>
    <row r="20" spans="1:21" ht="19" customHeight="1" x14ac:dyDescent="0.25">
      <c r="A20" s="14" t="s">
        <v>101</v>
      </c>
      <c r="B20" s="1"/>
      <c r="C20" s="15" t="e">
        <f>(C19/B19)-1</f>
        <v>#VALUE!</v>
      </c>
      <c r="D20" s="15" t="e">
        <f>(D19/C19)-1</f>
        <v>#VALUE!</v>
      </c>
      <c r="E20" s="15">
        <f>(E19/D19)-1</f>
        <v>-4.7186245550253747E-2</v>
      </c>
      <c r="F20" s="15">
        <f t="shared" ref="F20:N20" si="3">(F19/E19)-1</f>
        <v>-0.31677265500794916</v>
      </c>
      <c r="G20" s="15">
        <f t="shared" si="3"/>
        <v>-2.5255381035485747</v>
      </c>
      <c r="H20" s="15">
        <f t="shared" si="3"/>
        <v>1.9010448444173278</v>
      </c>
      <c r="I20" s="15">
        <f t="shared" si="3"/>
        <v>0.41171444720480577</v>
      </c>
      <c r="J20" s="15">
        <f t="shared" si="3"/>
        <v>0.42519948975316346</v>
      </c>
      <c r="K20" s="15">
        <f t="shared" si="3"/>
        <v>0.38434651945252019</v>
      </c>
      <c r="L20" s="15">
        <f t="shared" si="3"/>
        <v>-3.7188230019585156E-2</v>
      </c>
      <c r="M20" s="15">
        <f t="shared" si="3"/>
        <v>0.15696394872926001</v>
      </c>
      <c r="N20" s="15">
        <f t="shared" si="3"/>
        <v>-2.4957845770596232E-2</v>
      </c>
    </row>
    <row r="21" spans="1:21" ht="19" x14ac:dyDescent="0.25">
      <c r="A21" s="5" t="s">
        <v>15</v>
      </c>
      <c r="B21" s="2" t="s">
        <v>92</v>
      </c>
      <c r="C21" s="2" t="s">
        <v>92</v>
      </c>
      <c r="D21" s="2">
        <v>-0.35039999999999999</v>
      </c>
      <c r="E21" s="2">
        <v>-0.31830000000000003</v>
      </c>
      <c r="F21" s="2">
        <v>-0.129</v>
      </c>
      <c r="G21" s="2">
        <v>8.0699999999999994E-2</v>
      </c>
      <c r="H21" s="2">
        <v>0.15529999999999999</v>
      </c>
      <c r="I21" s="2">
        <v>0.1769</v>
      </c>
      <c r="J21" s="2">
        <v>0.1633</v>
      </c>
      <c r="K21" s="2">
        <v>0.14860000000000001</v>
      </c>
      <c r="L21" s="2">
        <v>0.13980000000000001</v>
      </c>
      <c r="M21" s="2">
        <v>0.1202</v>
      </c>
      <c r="N21" s="2">
        <v>7.3999999999999996E-2</v>
      </c>
    </row>
    <row r="22" spans="1:21" ht="19" x14ac:dyDescent="0.25">
      <c r="A22" s="6" t="s">
        <v>16</v>
      </c>
      <c r="B22" s="10" t="s">
        <v>92</v>
      </c>
      <c r="C22" s="10" t="s">
        <v>92</v>
      </c>
      <c r="D22" s="10">
        <v>-27460000</v>
      </c>
      <c r="E22" s="10">
        <v>-27460000</v>
      </c>
      <c r="F22" s="10">
        <v>-18371000</v>
      </c>
      <c r="G22" s="10">
        <v>28257000</v>
      </c>
      <c r="H22" s="10">
        <v>71759000</v>
      </c>
      <c r="I22" s="10">
        <v>91086000</v>
      </c>
      <c r="J22" s="10">
        <v>139420000</v>
      </c>
      <c r="K22" s="10">
        <v>189946000</v>
      </c>
      <c r="L22" s="10">
        <v>142561000</v>
      </c>
      <c r="M22" s="10">
        <v>207139000</v>
      </c>
      <c r="N22" s="10">
        <v>166120000</v>
      </c>
    </row>
    <row r="23" spans="1:21" ht="19" x14ac:dyDescent="0.25">
      <c r="A23" s="5" t="s">
        <v>17</v>
      </c>
      <c r="B23" s="2" t="s">
        <v>92</v>
      </c>
      <c r="C23" s="2" t="s">
        <v>92</v>
      </c>
      <c r="D23" s="2">
        <v>-0.3644</v>
      </c>
      <c r="E23" s="2">
        <v>-0.34739999999999999</v>
      </c>
      <c r="F23" s="2">
        <v>-0.13789999999999999</v>
      </c>
      <c r="G23" s="2">
        <v>8.6900000000000005E-2</v>
      </c>
      <c r="H23" s="2">
        <v>0.14649999999999999</v>
      </c>
      <c r="I23" s="2">
        <v>0.15</v>
      </c>
      <c r="J23" s="2">
        <v>0.14879999999999999</v>
      </c>
      <c r="K23" s="2">
        <v>0.13320000000000001</v>
      </c>
      <c r="L23" s="2">
        <v>9.7699999999999995E-2</v>
      </c>
      <c r="M23" s="2">
        <v>0.1055</v>
      </c>
      <c r="N23" s="2">
        <v>5.3400000000000003E-2</v>
      </c>
    </row>
    <row r="24" spans="1:21" ht="19" x14ac:dyDescent="0.25">
      <c r="A24" s="5" t="s">
        <v>18</v>
      </c>
      <c r="B24" s="1" t="s">
        <v>92</v>
      </c>
      <c r="C24" s="1" t="s">
        <v>92</v>
      </c>
      <c r="D24" s="1">
        <v>-287000</v>
      </c>
      <c r="E24" s="1">
        <v>-612000</v>
      </c>
      <c r="F24" s="1">
        <v>-2787000</v>
      </c>
      <c r="G24" s="1">
        <v>-5181000</v>
      </c>
      <c r="H24" s="1">
        <v>471000</v>
      </c>
      <c r="I24" s="1">
        <v>9158000</v>
      </c>
      <c r="J24" s="1">
        <v>-2297000</v>
      </c>
      <c r="K24" s="1">
        <v>-11343000</v>
      </c>
      <c r="L24" s="1">
        <v>21105000</v>
      </c>
      <c r="M24" s="1">
        <v>-19915000</v>
      </c>
      <c r="N24" s="1">
        <v>11035000</v>
      </c>
    </row>
    <row r="25" spans="1:21" ht="19" x14ac:dyDescent="0.25">
      <c r="A25" s="6" t="s">
        <v>19</v>
      </c>
      <c r="B25" s="10" t="s">
        <v>92</v>
      </c>
      <c r="C25" s="10" t="s">
        <v>92</v>
      </c>
      <c r="D25" s="10">
        <v>-27747000</v>
      </c>
      <c r="E25" s="10">
        <v>-28072000</v>
      </c>
      <c r="F25" s="10">
        <v>-21158000</v>
      </c>
      <c r="G25" s="10">
        <v>23076000</v>
      </c>
      <c r="H25" s="10">
        <v>72230000</v>
      </c>
      <c r="I25" s="10">
        <v>100244000</v>
      </c>
      <c r="J25" s="10">
        <v>137123000</v>
      </c>
      <c r="K25" s="10">
        <v>178603000</v>
      </c>
      <c r="L25" s="10">
        <v>163666000</v>
      </c>
      <c r="M25" s="10">
        <v>187224000</v>
      </c>
      <c r="N25" s="10">
        <v>177155000</v>
      </c>
    </row>
    <row r="26" spans="1:21" ht="19" x14ac:dyDescent="0.25">
      <c r="A26" s="5" t="s">
        <v>20</v>
      </c>
      <c r="B26" s="2" t="s">
        <v>92</v>
      </c>
      <c r="C26" s="2" t="s">
        <v>92</v>
      </c>
      <c r="D26" s="2">
        <v>-0.36820000000000003</v>
      </c>
      <c r="E26" s="2">
        <v>-0.35520000000000002</v>
      </c>
      <c r="F26" s="2">
        <v>-0.1588</v>
      </c>
      <c r="G26" s="2">
        <v>7.0999999999999994E-2</v>
      </c>
      <c r="H26" s="2">
        <v>0.14749999999999999</v>
      </c>
      <c r="I26" s="2">
        <v>0.1651</v>
      </c>
      <c r="J26" s="2">
        <v>0.14630000000000001</v>
      </c>
      <c r="K26" s="2">
        <v>0.12529999999999999</v>
      </c>
      <c r="L26" s="2">
        <v>0.11219999999999999</v>
      </c>
      <c r="M26" s="2">
        <v>9.5299999999999996E-2</v>
      </c>
      <c r="N26" s="2">
        <v>5.7000000000000002E-2</v>
      </c>
    </row>
    <row r="27" spans="1:21" ht="19" x14ac:dyDescent="0.25">
      <c r="A27" s="5" t="s">
        <v>21</v>
      </c>
      <c r="B27" s="1" t="s">
        <v>92</v>
      </c>
      <c r="C27" s="1" t="s">
        <v>92</v>
      </c>
      <c r="D27" s="1">
        <v>36000</v>
      </c>
      <c r="E27" s="1">
        <v>108000</v>
      </c>
      <c r="F27" s="1">
        <v>220000</v>
      </c>
      <c r="G27" s="1">
        <v>1955000</v>
      </c>
      <c r="H27" s="1">
        <v>-4379000</v>
      </c>
      <c r="I27" s="1">
        <v>16072000</v>
      </c>
      <c r="J27" s="1">
        <v>9077000</v>
      </c>
      <c r="K27" s="1">
        <v>33646000</v>
      </c>
      <c r="L27" s="1">
        <v>23344000</v>
      </c>
      <c r="M27" s="1">
        <v>18054000</v>
      </c>
      <c r="N27" s="1">
        <v>83376000</v>
      </c>
    </row>
    <row r="28" spans="1:21" ht="20" thickBot="1" x14ac:dyDescent="0.3">
      <c r="A28" s="7" t="s">
        <v>22</v>
      </c>
      <c r="B28" s="11" t="s">
        <v>92</v>
      </c>
      <c r="C28" s="11" t="s">
        <v>92</v>
      </c>
      <c r="D28" s="11">
        <v>-27783000</v>
      </c>
      <c r="E28" s="11">
        <v>-28180000</v>
      </c>
      <c r="F28" s="11">
        <v>-21378000</v>
      </c>
      <c r="G28" s="11">
        <v>21121000</v>
      </c>
      <c r="H28" s="11">
        <v>76609000</v>
      </c>
      <c r="I28" s="11">
        <v>84172000</v>
      </c>
      <c r="J28" s="11">
        <v>128833000</v>
      </c>
      <c r="K28" s="11">
        <v>146549000</v>
      </c>
      <c r="L28" s="11">
        <v>140322000</v>
      </c>
      <c r="M28" s="11">
        <v>169170000</v>
      </c>
      <c r="N28" s="11">
        <v>93779000</v>
      </c>
    </row>
    <row r="29" spans="1:21" ht="20" customHeight="1" thickTop="1" x14ac:dyDescent="0.25">
      <c r="A29" s="14" t="s">
        <v>102</v>
      </c>
      <c r="B29" s="1"/>
      <c r="C29" s="15" t="e">
        <f>(C28/B28)-1</f>
        <v>#VALUE!</v>
      </c>
      <c r="D29" s="15" t="e">
        <f>(D28/C28)-1</f>
        <v>#VALUE!</v>
      </c>
      <c r="E29" s="15">
        <f>(E28/D28)-1</f>
        <v>1.4289313609041399E-2</v>
      </c>
      <c r="F29" s="15">
        <f t="shared" ref="F29:N29" si="4">(F28/E28)-1</f>
        <v>-0.24137686302342087</v>
      </c>
      <c r="G29" s="15">
        <f t="shared" si="4"/>
        <v>-1.9879782954439142</v>
      </c>
      <c r="H29" s="15">
        <f t="shared" si="4"/>
        <v>2.6271483357795558</v>
      </c>
      <c r="I29" s="15">
        <f t="shared" si="4"/>
        <v>9.8722082261875288E-2</v>
      </c>
      <c r="J29" s="15">
        <f t="shared" si="4"/>
        <v>0.53059212089530949</v>
      </c>
      <c r="K29" s="15">
        <f t="shared" si="4"/>
        <v>0.1375113519051796</v>
      </c>
      <c r="L29" s="15">
        <f t="shared" si="4"/>
        <v>-4.2490907478044848E-2</v>
      </c>
      <c r="M29" s="15">
        <f t="shared" si="4"/>
        <v>0.20558429896951291</v>
      </c>
      <c r="N29" s="15">
        <f t="shared" si="4"/>
        <v>-0.44565230241768639</v>
      </c>
    </row>
    <row r="30" spans="1:21" ht="19" x14ac:dyDescent="0.25">
      <c r="A30" s="5" t="s">
        <v>23</v>
      </c>
      <c r="B30" s="2" t="s">
        <v>92</v>
      </c>
      <c r="C30" s="2" t="s">
        <v>92</v>
      </c>
      <c r="D30" s="2">
        <v>-0.36870000000000003</v>
      </c>
      <c r="E30" s="2">
        <v>-0.35659999999999997</v>
      </c>
      <c r="F30" s="2">
        <v>-0.1605</v>
      </c>
      <c r="G30" s="2">
        <v>6.5000000000000002E-2</v>
      </c>
      <c r="H30" s="2">
        <v>0.15640000000000001</v>
      </c>
      <c r="I30" s="2">
        <v>0.13869999999999999</v>
      </c>
      <c r="J30" s="2">
        <v>0.13750000000000001</v>
      </c>
      <c r="K30" s="2">
        <v>0.1028</v>
      </c>
      <c r="L30" s="2">
        <v>9.6199999999999994E-2</v>
      </c>
      <c r="M30" s="2">
        <v>8.6099999999999996E-2</v>
      </c>
      <c r="N30" s="2">
        <v>3.0200000000000001E-2</v>
      </c>
    </row>
    <row r="31" spans="1:21" ht="19" x14ac:dyDescent="0.25">
      <c r="A31" s="5" t="s">
        <v>24</v>
      </c>
      <c r="B31" s="12" t="s">
        <v>92</v>
      </c>
      <c r="C31" s="12" t="s">
        <v>92</v>
      </c>
      <c r="D31" s="12">
        <v>-0.73</v>
      </c>
      <c r="E31" s="12">
        <v>-0.95</v>
      </c>
      <c r="F31" s="12">
        <v>-0.56000000000000005</v>
      </c>
      <c r="G31" s="12">
        <v>0.3</v>
      </c>
      <c r="H31" s="12">
        <v>1.92</v>
      </c>
      <c r="I31" s="12">
        <v>1.99</v>
      </c>
      <c r="J31" s="12">
        <v>2.85</v>
      </c>
      <c r="K31" s="12">
        <v>3.06</v>
      </c>
      <c r="L31" s="12">
        <v>2.79</v>
      </c>
      <c r="M31" s="12">
        <v>3.22</v>
      </c>
      <c r="N31" s="12">
        <v>1.86</v>
      </c>
    </row>
    <row r="32" spans="1:21" ht="19" x14ac:dyDescent="0.25">
      <c r="A32" s="5" t="s">
        <v>25</v>
      </c>
      <c r="B32" s="12" t="s">
        <v>92</v>
      </c>
      <c r="C32" s="12" t="s">
        <v>92</v>
      </c>
      <c r="D32" s="12">
        <v>-0.73</v>
      </c>
      <c r="E32" s="12">
        <v>-0.95</v>
      </c>
      <c r="F32" s="12">
        <v>-0.56000000000000005</v>
      </c>
      <c r="G32" s="12">
        <v>0.27</v>
      </c>
      <c r="H32" s="12">
        <v>1.73</v>
      </c>
      <c r="I32" s="12">
        <v>1.85</v>
      </c>
      <c r="J32" s="12">
        <v>2.69</v>
      </c>
      <c r="K32" s="12">
        <v>2.9</v>
      </c>
      <c r="L32" s="12">
        <v>2.66</v>
      </c>
      <c r="M32" s="12">
        <v>3.02</v>
      </c>
      <c r="N32" s="12">
        <v>1.78</v>
      </c>
    </row>
    <row r="33" spans="1:25" ht="19" x14ac:dyDescent="0.25">
      <c r="A33" s="5" t="s">
        <v>26</v>
      </c>
      <c r="B33" s="1" t="s">
        <v>92</v>
      </c>
      <c r="C33" s="1" t="s">
        <v>92</v>
      </c>
      <c r="D33" s="1">
        <v>38065042</v>
      </c>
      <c r="E33" s="1">
        <v>29703142</v>
      </c>
      <c r="F33" s="1">
        <v>38065042</v>
      </c>
      <c r="G33" s="1">
        <v>11902911</v>
      </c>
      <c r="H33" s="1">
        <v>39987935</v>
      </c>
      <c r="I33" s="1">
        <v>42297487</v>
      </c>
      <c r="J33" s="1">
        <v>45204561</v>
      </c>
      <c r="K33" s="1">
        <v>47891830</v>
      </c>
      <c r="L33" s="1">
        <v>50294624</v>
      </c>
      <c r="M33" s="1">
        <v>50294624</v>
      </c>
      <c r="N33" s="1">
        <v>55087770</v>
      </c>
    </row>
    <row r="34" spans="1:25" ht="19" x14ac:dyDescent="0.25">
      <c r="A34" s="5" t="s">
        <v>27</v>
      </c>
      <c r="B34" s="1" t="s">
        <v>92</v>
      </c>
      <c r="C34" s="1" t="s">
        <v>92</v>
      </c>
      <c r="D34" s="1">
        <v>39115042</v>
      </c>
      <c r="E34" s="1">
        <v>31641743</v>
      </c>
      <c r="F34" s="1">
        <v>39115042</v>
      </c>
      <c r="G34" s="1">
        <v>15269448</v>
      </c>
      <c r="H34" s="1">
        <v>44376075</v>
      </c>
      <c r="I34" s="1">
        <v>45425307</v>
      </c>
      <c r="J34" s="1">
        <v>47980002</v>
      </c>
      <c r="K34" s="1">
        <v>50195661</v>
      </c>
      <c r="L34" s="1">
        <v>52795475</v>
      </c>
      <c r="M34" s="1">
        <v>52795475</v>
      </c>
      <c r="N34" s="1">
        <v>58100649</v>
      </c>
    </row>
    <row r="35" spans="1:25" ht="20" customHeight="1" x14ac:dyDescent="0.25">
      <c r="A35" s="14" t="s">
        <v>103</v>
      </c>
      <c r="B35" s="1"/>
      <c r="C35" s="21" t="e">
        <f>(C34-B34)/B34</f>
        <v>#VALUE!</v>
      </c>
      <c r="D35" s="21" t="e">
        <f t="shared" ref="D35:N35" si="5">(D34-C34)/C34</f>
        <v>#VALUE!</v>
      </c>
      <c r="E35" s="21">
        <f t="shared" si="5"/>
        <v>-0.19105946505183352</v>
      </c>
      <c r="F35" s="21">
        <f t="shared" si="5"/>
        <v>0.23618480815042331</v>
      </c>
      <c r="G35" s="21">
        <f t="shared" si="5"/>
        <v>-0.60962721195595293</v>
      </c>
      <c r="H35" s="21">
        <f t="shared" si="5"/>
        <v>1.906200342016293</v>
      </c>
      <c r="I35" s="21">
        <f t="shared" si="5"/>
        <v>2.3644092002278256E-2</v>
      </c>
      <c r="J35" s="21">
        <f t="shared" si="5"/>
        <v>5.6239465811425339E-2</v>
      </c>
      <c r="K35" s="21">
        <f t="shared" si="5"/>
        <v>4.6178801743276293E-2</v>
      </c>
      <c r="L35" s="21">
        <f t="shared" si="5"/>
        <v>5.1793600247638932E-2</v>
      </c>
      <c r="M35" s="21">
        <f t="shared" si="5"/>
        <v>0</v>
      </c>
      <c r="N35" s="21">
        <f t="shared" si="5"/>
        <v>0.10048539197724805</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25" ht="19" x14ac:dyDescent="0.25">
      <c r="A38" s="5" t="s">
        <v>30</v>
      </c>
      <c r="B38" s="1" t="s">
        <v>92</v>
      </c>
      <c r="C38" s="1" t="s">
        <v>92</v>
      </c>
      <c r="D38" s="1">
        <v>19400000</v>
      </c>
      <c r="E38" s="1">
        <v>13142000</v>
      </c>
      <c r="F38" s="1">
        <v>9754000</v>
      </c>
      <c r="G38" s="1">
        <v>144750000</v>
      </c>
      <c r="H38" s="1">
        <v>74032000</v>
      </c>
      <c r="I38" s="1">
        <v>163163000</v>
      </c>
      <c r="J38" s="1">
        <v>191633000</v>
      </c>
      <c r="K38" s="1">
        <v>223901000</v>
      </c>
      <c r="L38" s="1">
        <v>827146000</v>
      </c>
      <c r="M38" s="1">
        <v>530089000</v>
      </c>
      <c r="N38" s="1">
        <v>783112000</v>
      </c>
    </row>
    <row r="39" spans="1:25" ht="19" x14ac:dyDescent="0.25">
      <c r="A39" s="5" t="s">
        <v>31</v>
      </c>
      <c r="B39" s="1" t="s">
        <v>92</v>
      </c>
      <c r="C39" s="1" t="s">
        <v>92</v>
      </c>
      <c r="D39" s="1" t="s">
        <v>92</v>
      </c>
      <c r="E39" s="1" t="s">
        <v>92</v>
      </c>
      <c r="F39" s="1" t="s">
        <v>92</v>
      </c>
      <c r="G39" s="1" t="s">
        <v>92</v>
      </c>
      <c r="H39" s="1">
        <v>59163000</v>
      </c>
      <c r="I39" s="1">
        <v>77264000</v>
      </c>
      <c r="J39" s="1">
        <v>124681000</v>
      </c>
      <c r="K39" s="1">
        <v>96855000</v>
      </c>
      <c r="L39" s="1">
        <v>203783000</v>
      </c>
      <c r="M39" s="1">
        <v>167728000</v>
      </c>
      <c r="N39" s="1">
        <v>241117000</v>
      </c>
    </row>
    <row r="40" spans="1:25" ht="19" x14ac:dyDescent="0.25">
      <c r="A40" s="5" t="s">
        <v>32</v>
      </c>
      <c r="B40" s="1" t="s">
        <v>92</v>
      </c>
      <c r="C40" s="1" t="s">
        <v>92</v>
      </c>
      <c r="D40" s="1">
        <v>19400000</v>
      </c>
      <c r="E40" s="1">
        <v>13142000</v>
      </c>
      <c r="F40" s="1">
        <v>9754000</v>
      </c>
      <c r="G40" s="1">
        <v>144750000</v>
      </c>
      <c r="H40" s="1">
        <v>133195000</v>
      </c>
      <c r="I40" s="1">
        <v>240427000</v>
      </c>
      <c r="J40" s="1">
        <v>316314000</v>
      </c>
      <c r="K40" s="1">
        <v>320756000</v>
      </c>
      <c r="L40" s="1">
        <v>1030929000</v>
      </c>
      <c r="M40" s="1">
        <v>697817000</v>
      </c>
      <c r="N40" s="1">
        <v>1024229000</v>
      </c>
    </row>
    <row r="41" spans="1:25" ht="19" x14ac:dyDescent="0.25">
      <c r="A41" s="5" t="s">
        <v>33</v>
      </c>
      <c r="B41" s="1" t="s">
        <v>92</v>
      </c>
      <c r="C41" s="1" t="s">
        <v>92</v>
      </c>
      <c r="D41" s="1" t="s">
        <v>92</v>
      </c>
      <c r="E41" s="1">
        <v>13376000</v>
      </c>
      <c r="F41" s="1">
        <v>29501000</v>
      </c>
      <c r="G41" s="1">
        <v>60491000</v>
      </c>
      <c r="H41" s="1">
        <v>88112000</v>
      </c>
      <c r="I41" s="1">
        <v>143247000</v>
      </c>
      <c r="J41" s="1">
        <v>201863000</v>
      </c>
      <c r="K41" s="1">
        <v>382300000</v>
      </c>
      <c r="L41" s="1">
        <v>275323000</v>
      </c>
      <c r="M41" s="1">
        <v>527380000</v>
      </c>
      <c r="N41" s="1">
        <v>905146000</v>
      </c>
    </row>
    <row r="42" spans="1:25" ht="19" x14ac:dyDescent="0.25">
      <c r="A42" s="5" t="s">
        <v>34</v>
      </c>
      <c r="B42" s="1" t="s">
        <v>92</v>
      </c>
      <c r="C42" s="1" t="s">
        <v>92</v>
      </c>
      <c r="D42" s="1" t="s">
        <v>92</v>
      </c>
      <c r="E42" s="1">
        <v>14785000</v>
      </c>
      <c r="F42" s="1">
        <v>25499000</v>
      </c>
      <c r="G42" s="1">
        <v>73950000</v>
      </c>
      <c r="H42" s="1">
        <v>81550000</v>
      </c>
      <c r="I42" s="1">
        <v>82992000</v>
      </c>
      <c r="J42" s="1">
        <v>141519000</v>
      </c>
      <c r="K42" s="1">
        <v>170798000</v>
      </c>
      <c r="L42" s="1">
        <v>331696000</v>
      </c>
      <c r="M42" s="1">
        <v>380143000</v>
      </c>
      <c r="N42" s="1">
        <v>729201000</v>
      </c>
    </row>
    <row r="43" spans="1:25" ht="19" x14ac:dyDescent="0.25">
      <c r="A43" s="5" t="s">
        <v>35</v>
      </c>
      <c r="B43" s="1" t="s">
        <v>92</v>
      </c>
      <c r="C43" s="1" t="s">
        <v>92</v>
      </c>
      <c r="D43" s="1" t="s">
        <v>92</v>
      </c>
      <c r="E43" s="1">
        <v>2870000</v>
      </c>
      <c r="F43" s="1">
        <v>4519000</v>
      </c>
      <c r="G43" s="1">
        <v>11221000</v>
      </c>
      <c r="H43" s="1">
        <v>6893000</v>
      </c>
      <c r="I43" s="1">
        <v>10020000</v>
      </c>
      <c r="J43" s="1">
        <v>18417000</v>
      </c>
      <c r="K43" s="1">
        <v>58909000</v>
      </c>
      <c r="L43" s="1">
        <v>81393000</v>
      </c>
      <c r="M43" s="1">
        <v>105951000</v>
      </c>
      <c r="N43" s="1">
        <v>241082000</v>
      </c>
    </row>
    <row r="44" spans="1:25" ht="19" x14ac:dyDescent="0.25">
      <c r="A44" s="6" t="s">
        <v>36</v>
      </c>
      <c r="B44" s="10" t="s">
        <v>92</v>
      </c>
      <c r="C44" s="10" t="s">
        <v>92</v>
      </c>
      <c r="D44" s="10" t="s">
        <v>92</v>
      </c>
      <c r="E44" s="10">
        <v>44173000</v>
      </c>
      <c r="F44" s="10">
        <v>69273000</v>
      </c>
      <c r="G44" s="10">
        <v>290412000</v>
      </c>
      <c r="H44" s="10">
        <v>309750000</v>
      </c>
      <c r="I44" s="10">
        <v>476686000</v>
      </c>
      <c r="J44" s="10">
        <v>678113000</v>
      </c>
      <c r="K44" s="10">
        <v>932763000</v>
      </c>
      <c r="L44" s="10">
        <v>1719341000</v>
      </c>
      <c r="M44" s="10">
        <v>1711291000</v>
      </c>
      <c r="N44" s="10">
        <v>2899658000</v>
      </c>
    </row>
    <row r="45" spans="1:25" ht="19" x14ac:dyDescent="0.25">
      <c r="A45" s="5" t="s">
        <v>37</v>
      </c>
      <c r="B45" s="1" t="s">
        <v>92</v>
      </c>
      <c r="C45" s="1" t="s">
        <v>92</v>
      </c>
      <c r="D45" s="1" t="s">
        <v>92</v>
      </c>
      <c r="E45" s="1">
        <v>4339000</v>
      </c>
      <c r="F45" s="1">
        <v>5351000</v>
      </c>
      <c r="G45" s="1">
        <v>14717000</v>
      </c>
      <c r="H45" s="1">
        <v>27831000</v>
      </c>
      <c r="I45" s="1">
        <v>51182000</v>
      </c>
      <c r="J45" s="1">
        <v>119329000</v>
      </c>
      <c r="K45" s="1">
        <v>212821000</v>
      </c>
      <c r="L45" s="1">
        <v>345008000</v>
      </c>
      <c r="M45" s="1">
        <v>457516000</v>
      </c>
      <c r="N45" s="1">
        <v>606723000</v>
      </c>
    </row>
    <row r="46" spans="1:25" ht="19" x14ac:dyDescent="0.25">
      <c r="A46" s="5" t="s">
        <v>38</v>
      </c>
      <c r="B46" s="1" t="s">
        <v>92</v>
      </c>
      <c r="C46" s="1" t="s">
        <v>92</v>
      </c>
      <c r="D46" s="1" t="s">
        <v>92</v>
      </c>
      <c r="E46" s="1" t="s">
        <v>92</v>
      </c>
      <c r="F46" s="1" t="s">
        <v>92</v>
      </c>
      <c r="G46" s="1" t="s">
        <v>92</v>
      </c>
      <c r="H46" s="1" t="s">
        <v>92</v>
      </c>
      <c r="I46" s="1" t="s">
        <v>92</v>
      </c>
      <c r="J46" s="1">
        <v>34874000</v>
      </c>
      <c r="K46" s="1">
        <v>129654000</v>
      </c>
      <c r="L46" s="1">
        <v>140479000</v>
      </c>
      <c r="M46" s="1">
        <v>129629000</v>
      </c>
      <c r="N46" s="1">
        <v>31189000</v>
      </c>
    </row>
    <row r="47" spans="1:25" ht="19" x14ac:dyDescent="0.25">
      <c r="A47" s="5" t="s">
        <v>39</v>
      </c>
      <c r="B47" s="1" t="s">
        <v>92</v>
      </c>
      <c r="C47" s="1" t="s">
        <v>92</v>
      </c>
      <c r="D47" s="1" t="s">
        <v>92</v>
      </c>
      <c r="E47" s="1" t="s">
        <v>92</v>
      </c>
      <c r="F47" s="1" t="s">
        <v>92</v>
      </c>
      <c r="G47" s="1" t="s">
        <v>92</v>
      </c>
      <c r="H47" s="1">
        <v>716000</v>
      </c>
      <c r="I47" s="1">
        <v>1115000</v>
      </c>
      <c r="J47" s="1">
        <v>38504000</v>
      </c>
      <c r="K47" s="1">
        <v>74008000</v>
      </c>
      <c r="L47" s="1">
        <v>67818000</v>
      </c>
      <c r="M47" s="1">
        <v>58861000</v>
      </c>
      <c r="N47" s="1">
        <v>19929000</v>
      </c>
      <c r="Y47" t="s">
        <v>160</v>
      </c>
    </row>
    <row r="48" spans="1:25" ht="19" x14ac:dyDescent="0.25">
      <c r="A48" s="5" t="s">
        <v>40</v>
      </c>
      <c r="B48" s="1" t="s">
        <v>92</v>
      </c>
      <c r="C48" s="1" t="s">
        <v>92</v>
      </c>
      <c r="D48" s="1" t="s">
        <v>92</v>
      </c>
      <c r="E48" s="1" t="s">
        <v>92</v>
      </c>
      <c r="F48" s="1" t="s">
        <v>92</v>
      </c>
      <c r="G48" s="1" t="s">
        <v>92</v>
      </c>
      <c r="H48" s="1">
        <v>716000</v>
      </c>
      <c r="I48" s="1">
        <v>1115000</v>
      </c>
      <c r="J48" s="1">
        <v>73378000</v>
      </c>
      <c r="K48" s="1">
        <v>203662000</v>
      </c>
      <c r="L48" s="1">
        <v>208297000</v>
      </c>
      <c r="M48" s="1">
        <v>188490000</v>
      </c>
      <c r="N48" s="1">
        <v>51118000</v>
      </c>
    </row>
    <row r="49" spans="1:14" ht="19" x14ac:dyDescent="0.25">
      <c r="A49" s="5" t="s">
        <v>41</v>
      </c>
      <c r="B49" s="1" t="s">
        <v>92</v>
      </c>
      <c r="C49" s="1" t="s">
        <v>92</v>
      </c>
      <c r="D49" s="1" t="s">
        <v>92</v>
      </c>
      <c r="E49" s="1" t="s">
        <v>92</v>
      </c>
      <c r="F49" s="1" t="s">
        <v>92</v>
      </c>
      <c r="G49" s="1" t="s">
        <v>92</v>
      </c>
      <c r="H49" s="1">
        <v>52446000</v>
      </c>
      <c r="I49" s="1">
        <v>103120000</v>
      </c>
      <c r="J49" s="1">
        <v>74256000</v>
      </c>
      <c r="K49" s="1">
        <v>119176000</v>
      </c>
      <c r="L49" s="1">
        <v>147434000</v>
      </c>
      <c r="M49" s="1">
        <v>482228000</v>
      </c>
      <c r="N49" s="1">
        <v>645491000</v>
      </c>
    </row>
    <row r="50" spans="1:14" ht="19" x14ac:dyDescent="0.25">
      <c r="A50" s="5" t="s">
        <v>42</v>
      </c>
      <c r="B50" s="1" t="s">
        <v>92</v>
      </c>
      <c r="C50" s="1" t="s">
        <v>92</v>
      </c>
      <c r="D50" s="1" t="s">
        <v>92</v>
      </c>
      <c r="E50" s="1" t="s">
        <v>92</v>
      </c>
      <c r="F50" s="1" t="s">
        <v>92</v>
      </c>
      <c r="G50" s="1" t="s">
        <v>92</v>
      </c>
      <c r="H50" s="1">
        <v>6296000</v>
      </c>
      <c r="I50" s="1">
        <v>8340000</v>
      </c>
      <c r="J50" s="1">
        <v>14699000</v>
      </c>
      <c r="K50" s="1">
        <v>16298000</v>
      </c>
      <c r="L50" s="1">
        <v>11676000</v>
      </c>
      <c r="M50" s="1">
        <v>27572000</v>
      </c>
      <c r="N50" s="1">
        <v>44153000</v>
      </c>
    </row>
    <row r="51" spans="1:14" ht="19" x14ac:dyDescent="0.25">
      <c r="A51" s="5" t="s">
        <v>43</v>
      </c>
      <c r="B51" s="1" t="s">
        <v>92</v>
      </c>
      <c r="C51" s="1" t="s">
        <v>92</v>
      </c>
      <c r="D51" s="1" t="s">
        <v>92</v>
      </c>
      <c r="E51" s="1">
        <v>574000</v>
      </c>
      <c r="F51" s="1">
        <v>374000</v>
      </c>
      <c r="G51" s="1">
        <v>529000</v>
      </c>
      <c r="H51" s="1">
        <v>399000</v>
      </c>
      <c r="I51" s="1">
        <v>862000</v>
      </c>
      <c r="J51" s="1">
        <v>4697000</v>
      </c>
      <c r="K51" s="1">
        <v>9904000</v>
      </c>
      <c r="L51" s="1">
        <v>5353000</v>
      </c>
      <c r="M51" s="1">
        <v>24963000</v>
      </c>
      <c r="N51" s="1">
        <v>18806000</v>
      </c>
    </row>
    <row r="52" spans="1:14" ht="19" x14ac:dyDescent="0.25">
      <c r="A52" s="5" t="s">
        <v>44</v>
      </c>
      <c r="B52" s="1" t="s">
        <v>92</v>
      </c>
      <c r="C52" s="1" t="s">
        <v>92</v>
      </c>
      <c r="D52" s="1" t="s">
        <v>92</v>
      </c>
      <c r="E52" s="1">
        <v>4913000</v>
      </c>
      <c r="F52" s="1">
        <v>5725000</v>
      </c>
      <c r="G52" s="1">
        <v>15246000</v>
      </c>
      <c r="H52" s="1">
        <v>87688000</v>
      </c>
      <c r="I52" s="1">
        <v>164619000</v>
      </c>
      <c r="J52" s="1">
        <v>286359000</v>
      </c>
      <c r="K52" s="1">
        <v>561861000</v>
      </c>
      <c r="L52" s="1">
        <v>717768000</v>
      </c>
      <c r="M52" s="1">
        <v>1180769000</v>
      </c>
      <c r="N52" s="1">
        <v>1366291000</v>
      </c>
    </row>
    <row r="53" spans="1:14" ht="19" x14ac:dyDescent="0.25">
      <c r="A53" s="5" t="s">
        <v>45</v>
      </c>
      <c r="B53" s="1" t="s">
        <v>92</v>
      </c>
      <c r="C53" s="1" t="s">
        <v>92</v>
      </c>
      <c r="D53" s="1">
        <v>55900000</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t="s">
        <v>92</v>
      </c>
      <c r="C54" s="11" t="s">
        <v>92</v>
      </c>
      <c r="D54" s="11">
        <v>55900000</v>
      </c>
      <c r="E54" s="11">
        <v>49086000</v>
      </c>
      <c r="F54" s="11">
        <v>74998000</v>
      </c>
      <c r="G54" s="11">
        <v>305658000</v>
      </c>
      <c r="H54" s="11">
        <v>397438000</v>
      </c>
      <c r="I54" s="11">
        <v>641305000</v>
      </c>
      <c r="J54" s="11">
        <v>964472000</v>
      </c>
      <c r="K54" s="11">
        <v>1494624000</v>
      </c>
      <c r="L54" s="11">
        <v>2437109000</v>
      </c>
      <c r="M54" s="11">
        <v>2892060000</v>
      </c>
      <c r="N54" s="11">
        <v>4265949000</v>
      </c>
    </row>
    <row r="55" spans="1:14" ht="20" thickTop="1" x14ac:dyDescent="0.25">
      <c r="A55" s="5" t="s">
        <v>47</v>
      </c>
      <c r="B55" s="1" t="s">
        <v>92</v>
      </c>
      <c r="C55" s="1" t="s">
        <v>92</v>
      </c>
      <c r="D55" s="1" t="s">
        <v>92</v>
      </c>
      <c r="E55" s="1">
        <v>16468000</v>
      </c>
      <c r="F55" s="1">
        <v>36815000</v>
      </c>
      <c r="G55" s="1">
        <v>80684000</v>
      </c>
      <c r="H55" s="1">
        <v>48481000</v>
      </c>
      <c r="I55" s="1">
        <v>69488000</v>
      </c>
      <c r="J55" s="1">
        <v>107079000</v>
      </c>
      <c r="K55" s="1">
        <v>157148000</v>
      </c>
      <c r="L55" s="1">
        <v>162051000</v>
      </c>
      <c r="M55" s="1">
        <v>252068000</v>
      </c>
      <c r="N55" s="1">
        <v>459831000</v>
      </c>
    </row>
    <row r="56" spans="1:14" ht="19" x14ac:dyDescent="0.25">
      <c r="A56" s="5" t="s">
        <v>48</v>
      </c>
      <c r="B56" s="1" t="s">
        <v>92</v>
      </c>
      <c r="C56" s="1" t="s">
        <v>92</v>
      </c>
      <c r="D56" s="1" t="s">
        <v>92</v>
      </c>
      <c r="E56" s="1">
        <v>6212000</v>
      </c>
      <c r="F56" s="1">
        <v>16800000</v>
      </c>
      <c r="G56" s="1" t="s">
        <v>92</v>
      </c>
      <c r="H56" s="1" t="s">
        <v>92</v>
      </c>
      <c r="I56" s="1" t="s">
        <v>92</v>
      </c>
      <c r="J56" s="1">
        <v>16639000</v>
      </c>
      <c r="K56" s="1">
        <v>25263000</v>
      </c>
      <c r="L56" s="1">
        <v>27888000</v>
      </c>
      <c r="M56" s="1">
        <v>12876000</v>
      </c>
      <c r="N56" s="1">
        <v>0</v>
      </c>
    </row>
    <row r="57" spans="1:1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row>
    <row r="58" spans="1:14" ht="19" x14ac:dyDescent="0.25">
      <c r="A58" s="5" t="s">
        <v>50</v>
      </c>
      <c r="B58" s="1" t="s">
        <v>92</v>
      </c>
      <c r="C58" s="1" t="s">
        <v>92</v>
      </c>
      <c r="D58" s="1" t="s">
        <v>92</v>
      </c>
      <c r="E58" s="1">
        <v>3584000</v>
      </c>
      <c r="F58" s="1">
        <v>1729000</v>
      </c>
      <c r="G58" s="1">
        <v>1676000</v>
      </c>
      <c r="H58" s="1">
        <v>3859000</v>
      </c>
      <c r="I58" s="1">
        <v>2559000</v>
      </c>
      <c r="J58" s="1">
        <v>14351000</v>
      </c>
      <c r="K58" s="1">
        <v>70815000</v>
      </c>
      <c r="L58" s="1">
        <v>24648000</v>
      </c>
      <c r="M58" s="1">
        <v>17789000</v>
      </c>
      <c r="N58" s="1">
        <v>26641000</v>
      </c>
    </row>
    <row r="59" spans="1:14" ht="19" x14ac:dyDescent="0.25">
      <c r="A59" s="5" t="s">
        <v>51</v>
      </c>
      <c r="B59" s="1" t="s">
        <v>92</v>
      </c>
      <c r="C59" s="1" t="s">
        <v>92</v>
      </c>
      <c r="D59" s="1" t="s">
        <v>92</v>
      </c>
      <c r="E59" s="1">
        <v>14550000</v>
      </c>
      <c r="F59" s="1">
        <v>17599000</v>
      </c>
      <c r="G59" s="1">
        <v>23232000</v>
      </c>
      <c r="H59" s="1">
        <v>34931000</v>
      </c>
      <c r="I59" s="1">
        <v>57707000</v>
      </c>
      <c r="J59" s="1">
        <v>87649000</v>
      </c>
      <c r="K59" s="1">
        <v>183488000</v>
      </c>
      <c r="L59" s="1">
        <v>221512000</v>
      </c>
      <c r="M59" s="1">
        <v>242448000</v>
      </c>
      <c r="N59" s="1">
        <v>403245000</v>
      </c>
    </row>
    <row r="60" spans="1:14" ht="19" x14ac:dyDescent="0.25">
      <c r="A60" s="6" t="s">
        <v>52</v>
      </c>
      <c r="B60" s="10" t="s">
        <v>92</v>
      </c>
      <c r="C60" s="10" t="s">
        <v>92</v>
      </c>
      <c r="D60" s="10" t="s">
        <v>92</v>
      </c>
      <c r="E60" s="10">
        <v>40814000</v>
      </c>
      <c r="F60" s="10">
        <v>72943000</v>
      </c>
      <c r="G60" s="10">
        <v>105592000</v>
      </c>
      <c r="H60" s="10">
        <v>87271000</v>
      </c>
      <c r="I60" s="10">
        <v>129754000</v>
      </c>
      <c r="J60" s="10">
        <v>225718000</v>
      </c>
      <c r="K60" s="10">
        <v>436714000</v>
      </c>
      <c r="L60" s="10">
        <v>436099000</v>
      </c>
      <c r="M60" s="10">
        <v>525181000</v>
      </c>
      <c r="N60" s="10">
        <v>889717000</v>
      </c>
    </row>
    <row r="61" spans="1:14" ht="19" x14ac:dyDescent="0.25">
      <c r="A61" s="5" t="s">
        <v>53</v>
      </c>
      <c r="B61" s="1" t="s">
        <v>92</v>
      </c>
      <c r="C61" s="1" t="s">
        <v>92</v>
      </c>
      <c r="D61" s="1" t="s">
        <v>92</v>
      </c>
      <c r="E61" s="1">
        <v>6611000</v>
      </c>
      <c r="F61" s="1">
        <v>3444000</v>
      </c>
      <c r="G61" s="1" t="s">
        <v>92</v>
      </c>
      <c r="H61" s="1" t="s">
        <v>92</v>
      </c>
      <c r="I61" s="1" t="s">
        <v>92</v>
      </c>
      <c r="J61" s="1">
        <v>3510000</v>
      </c>
      <c r="K61" s="1">
        <v>30386000</v>
      </c>
      <c r="L61" s="1">
        <v>634717000</v>
      </c>
      <c r="M61" s="1">
        <v>700955000</v>
      </c>
      <c r="N61" s="1">
        <v>716092000</v>
      </c>
    </row>
    <row r="62" spans="1:14" ht="19" x14ac:dyDescent="0.25">
      <c r="A62" s="5" t="s">
        <v>50</v>
      </c>
      <c r="B62" s="1" t="s">
        <v>92</v>
      </c>
      <c r="C62" s="1" t="s">
        <v>92</v>
      </c>
      <c r="D62" s="1" t="s">
        <v>92</v>
      </c>
      <c r="E62" s="1">
        <v>2895000</v>
      </c>
      <c r="F62" s="1">
        <v>4252000</v>
      </c>
      <c r="G62" s="1">
        <v>8289000</v>
      </c>
      <c r="H62" s="1">
        <v>14684000</v>
      </c>
      <c r="I62" s="1">
        <v>31453000</v>
      </c>
      <c r="J62" s="1">
        <v>60670000</v>
      </c>
      <c r="K62" s="1">
        <v>89982000</v>
      </c>
      <c r="L62" s="1">
        <v>115372000</v>
      </c>
      <c r="M62" s="1">
        <v>151556000</v>
      </c>
      <c r="N62" s="1">
        <v>186936000</v>
      </c>
    </row>
    <row r="63" spans="1:14" ht="19" x14ac:dyDescent="0.25">
      <c r="A63" s="5" t="s">
        <v>54</v>
      </c>
      <c r="B63" s="1" t="s">
        <v>92</v>
      </c>
      <c r="C63" s="1" t="s">
        <v>92</v>
      </c>
      <c r="D63" s="1" t="s">
        <v>92</v>
      </c>
      <c r="E63" s="1" t="s">
        <v>92</v>
      </c>
      <c r="F63" s="1" t="s">
        <v>92</v>
      </c>
      <c r="G63" s="1" t="s">
        <v>92</v>
      </c>
      <c r="H63" s="1" t="s">
        <v>92</v>
      </c>
      <c r="I63" s="1" t="s">
        <v>92</v>
      </c>
      <c r="J63" s="1">
        <v>1499000</v>
      </c>
      <c r="K63" s="1">
        <v>4461000</v>
      </c>
      <c r="L63" s="1">
        <v>8593000</v>
      </c>
      <c r="M63" s="1">
        <v>156000</v>
      </c>
      <c r="N63" s="1" t="s">
        <v>92</v>
      </c>
    </row>
    <row r="64" spans="1:14" ht="19" x14ac:dyDescent="0.25">
      <c r="A64" s="5" t="s">
        <v>55</v>
      </c>
      <c r="B64" s="1" t="s">
        <v>92</v>
      </c>
      <c r="C64" s="1" t="s">
        <v>92</v>
      </c>
      <c r="D64" s="1" t="s">
        <v>92</v>
      </c>
      <c r="E64" s="1">
        <v>8237000</v>
      </c>
      <c r="F64" s="1">
        <v>13450000</v>
      </c>
      <c r="G64" s="1">
        <v>24833000</v>
      </c>
      <c r="H64" s="1">
        <v>39375000</v>
      </c>
      <c r="I64" s="1">
        <v>82631000</v>
      </c>
      <c r="J64" s="1">
        <v>102349000</v>
      </c>
      <c r="K64" s="1">
        <v>121411000</v>
      </c>
      <c r="L64" s="1">
        <v>156571000</v>
      </c>
      <c r="M64" s="1">
        <v>204173000</v>
      </c>
      <c r="N64" s="1">
        <v>296838000</v>
      </c>
    </row>
    <row r="65" spans="1:14" ht="19" x14ac:dyDescent="0.25">
      <c r="A65" s="5" t="s">
        <v>56</v>
      </c>
      <c r="B65" s="1" t="s">
        <v>92</v>
      </c>
      <c r="C65" s="1" t="s">
        <v>92</v>
      </c>
      <c r="D65" s="1" t="s">
        <v>92</v>
      </c>
      <c r="E65" s="1">
        <v>17743000</v>
      </c>
      <c r="F65" s="1">
        <v>21146000</v>
      </c>
      <c r="G65" s="1">
        <v>33122000</v>
      </c>
      <c r="H65" s="1">
        <v>54059000</v>
      </c>
      <c r="I65" s="1">
        <v>114084000</v>
      </c>
      <c r="J65" s="1">
        <v>168028000</v>
      </c>
      <c r="K65" s="1">
        <v>246240000</v>
      </c>
      <c r="L65" s="1">
        <v>915253000</v>
      </c>
      <c r="M65" s="1">
        <v>1056840000</v>
      </c>
      <c r="N65" s="1">
        <v>1199866000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t="s">
        <v>92</v>
      </c>
      <c r="C67" s="10" t="s">
        <v>92</v>
      </c>
      <c r="D67" s="10" t="s">
        <v>92</v>
      </c>
      <c r="E67" s="10">
        <v>58557000</v>
      </c>
      <c r="F67" s="10">
        <v>94089000</v>
      </c>
      <c r="G67" s="10">
        <v>138714000</v>
      </c>
      <c r="H67" s="10">
        <v>141330000</v>
      </c>
      <c r="I67" s="10">
        <v>243838000</v>
      </c>
      <c r="J67" s="10">
        <v>393746000</v>
      </c>
      <c r="K67" s="10">
        <v>682954000</v>
      </c>
      <c r="L67" s="10">
        <v>1351352000</v>
      </c>
      <c r="M67" s="10">
        <v>1582021000</v>
      </c>
      <c r="N67" s="10">
        <v>2089583000</v>
      </c>
    </row>
    <row r="68" spans="1:14" ht="19" x14ac:dyDescent="0.25">
      <c r="A68" s="5" t="s">
        <v>59</v>
      </c>
      <c r="B68" s="1" t="s">
        <v>92</v>
      </c>
      <c r="C68" s="1" t="s">
        <v>92</v>
      </c>
      <c r="D68" s="1" t="s">
        <v>92</v>
      </c>
      <c r="E68" s="1" t="s">
        <v>92</v>
      </c>
      <c r="F68" s="1" t="s">
        <v>92</v>
      </c>
      <c r="G68" s="1">
        <v>4000</v>
      </c>
      <c r="H68" s="1">
        <v>4000</v>
      </c>
      <c r="I68" s="1">
        <v>4000</v>
      </c>
      <c r="J68" s="1">
        <v>5000</v>
      </c>
      <c r="K68" s="1">
        <v>5000</v>
      </c>
      <c r="L68" s="1">
        <v>5000</v>
      </c>
      <c r="M68" s="1">
        <v>5000</v>
      </c>
      <c r="N68" s="1">
        <v>6000</v>
      </c>
    </row>
    <row r="69" spans="1:14" ht="19" x14ac:dyDescent="0.25">
      <c r="A69" s="5" t="s">
        <v>60</v>
      </c>
      <c r="B69" s="1" t="s">
        <v>92</v>
      </c>
      <c r="C69" s="1" t="s">
        <v>92</v>
      </c>
      <c r="D69" s="1" t="s">
        <v>92</v>
      </c>
      <c r="E69" s="1">
        <v>-119733000</v>
      </c>
      <c r="F69" s="1">
        <v>-141111000</v>
      </c>
      <c r="G69" s="1">
        <v>-119990000</v>
      </c>
      <c r="H69" s="1">
        <v>-43381000</v>
      </c>
      <c r="I69" s="1">
        <v>66172000</v>
      </c>
      <c r="J69" s="1">
        <v>191133000</v>
      </c>
      <c r="K69" s="1">
        <v>337682000</v>
      </c>
      <c r="L69" s="1">
        <v>478004000</v>
      </c>
      <c r="M69" s="1">
        <v>650058000</v>
      </c>
      <c r="N69" s="1">
        <v>743837000</v>
      </c>
    </row>
    <row r="70" spans="1:14" ht="19" x14ac:dyDescent="0.25">
      <c r="A70" s="5" t="s">
        <v>61</v>
      </c>
      <c r="B70" s="1" t="s">
        <v>92</v>
      </c>
      <c r="C70" s="1" t="s">
        <v>92</v>
      </c>
      <c r="D70" s="1" t="s">
        <v>92</v>
      </c>
      <c r="E70" s="1">
        <v>-26000</v>
      </c>
      <c r="F70" s="1">
        <v>-61000</v>
      </c>
      <c r="G70" s="1">
        <v>-222000</v>
      </c>
      <c r="H70" s="1">
        <v>271000</v>
      </c>
      <c r="I70" s="1">
        <v>-611000</v>
      </c>
      <c r="J70" s="1">
        <v>-524000</v>
      </c>
      <c r="K70" s="1">
        <v>-1809000</v>
      </c>
      <c r="L70" s="1">
        <v>3857000</v>
      </c>
      <c r="M70" s="1">
        <v>-27319000</v>
      </c>
      <c r="N70" s="1">
        <v>-73109000</v>
      </c>
    </row>
    <row r="71" spans="1:14" ht="19" x14ac:dyDescent="0.25">
      <c r="A71" s="5" t="s">
        <v>62</v>
      </c>
      <c r="B71" s="1" t="s">
        <v>92</v>
      </c>
      <c r="C71" s="1" t="s">
        <v>92</v>
      </c>
      <c r="D71" s="1" t="s">
        <v>92</v>
      </c>
      <c r="E71" s="1">
        <v>4745000</v>
      </c>
      <c r="F71" s="1">
        <v>5878000</v>
      </c>
      <c r="G71" s="1">
        <v>287152000</v>
      </c>
      <c r="H71" s="1">
        <v>299214000</v>
      </c>
      <c r="I71" s="1">
        <v>331902000</v>
      </c>
      <c r="J71" s="1">
        <v>371794000</v>
      </c>
      <c r="K71" s="1">
        <v>475792000</v>
      </c>
      <c r="L71" s="1">
        <v>603891000</v>
      </c>
      <c r="M71" s="1">
        <v>687295000</v>
      </c>
      <c r="N71" s="1">
        <v>1505632000</v>
      </c>
    </row>
    <row r="72" spans="1:14" ht="19" x14ac:dyDescent="0.25">
      <c r="A72" s="6" t="s">
        <v>63</v>
      </c>
      <c r="B72" s="10" t="s">
        <v>92</v>
      </c>
      <c r="C72" s="10" t="s">
        <v>92</v>
      </c>
      <c r="D72" s="10" t="s">
        <v>92</v>
      </c>
      <c r="E72" s="10">
        <v>-9471000</v>
      </c>
      <c r="F72" s="10">
        <v>-19091000</v>
      </c>
      <c r="G72" s="10">
        <v>166944000</v>
      </c>
      <c r="H72" s="10">
        <v>256108000</v>
      </c>
      <c r="I72" s="10">
        <v>397467000</v>
      </c>
      <c r="J72" s="10">
        <v>562408000</v>
      </c>
      <c r="K72" s="10">
        <v>811670000</v>
      </c>
      <c r="L72" s="10">
        <v>1085757000</v>
      </c>
      <c r="M72" s="10">
        <v>1310039000</v>
      </c>
      <c r="N72" s="10">
        <v>2176366000</v>
      </c>
    </row>
    <row r="73" spans="1:14" ht="20" thickBot="1" x14ac:dyDescent="0.3">
      <c r="A73" s="7" t="s">
        <v>64</v>
      </c>
      <c r="B73" s="11" t="s">
        <v>92</v>
      </c>
      <c r="C73" s="11" t="s">
        <v>92</v>
      </c>
      <c r="D73" s="11" t="s">
        <v>92</v>
      </c>
      <c r="E73" s="11">
        <v>49086000</v>
      </c>
      <c r="F73" s="11">
        <v>74998000</v>
      </c>
      <c r="G73" s="11">
        <v>305658000</v>
      </c>
      <c r="H73" s="11">
        <v>397438000</v>
      </c>
      <c r="I73" s="11">
        <v>641305000</v>
      </c>
      <c r="J73" s="11">
        <v>956154000</v>
      </c>
      <c r="K73" s="11">
        <v>1494624000</v>
      </c>
      <c r="L73" s="11">
        <v>2437109000</v>
      </c>
      <c r="M73" s="11">
        <v>2892060000</v>
      </c>
      <c r="N73" s="11">
        <v>4265949000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t="s">
        <v>92</v>
      </c>
      <c r="C76" s="1" t="s">
        <v>92</v>
      </c>
      <c r="D76" s="1">
        <v>-27783000</v>
      </c>
      <c r="E76" s="1">
        <v>-28180000</v>
      </c>
      <c r="F76" s="1">
        <v>-21378000</v>
      </c>
      <c r="G76" s="1">
        <v>21121000</v>
      </c>
      <c r="H76" s="1">
        <v>76609000</v>
      </c>
      <c r="I76" s="1">
        <v>84172000</v>
      </c>
      <c r="J76" s="1">
        <v>128833000</v>
      </c>
      <c r="K76" s="1">
        <v>146549000</v>
      </c>
      <c r="L76" s="1">
        <v>140322000</v>
      </c>
      <c r="M76" s="1">
        <v>169170000</v>
      </c>
      <c r="N76" s="1">
        <v>93779000</v>
      </c>
    </row>
    <row r="77" spans="1:14" ht="19" x14ac:dyDescent="0.25">
      <c r="A77" s="5" t="s">
        <v>13</v>
      </c>
      <c r="B77" s="1" t="s">
        <v>92</v>
      </c>
      <c r="C77" s="1" t="s">
        <v>92</v>
      </c>
      <c r="D77" s="1">
        <v>1283000</v>
      </c>
      <c r="E77" s="1">
        <v>1842000</v>
      </c>
      <c r="F77" s="1">
        <v>1978000</v>
      </c>
      <c r="G77" s="1">
        <v>2253000</v>
      </c>
      <c r="H77" s="1">
        <v>3847000</v>
      </c>
      <c r="I77" s="1">
        <v>7155000</v>
      </c>
      <c r="J77" s="1">
        <v>12619000</v>
      </c>
      <c r="K77" s="1">
        <v>26895000</v>
      </c>
      <c r="L77" s="1">
        <v>31834000</v>
      </c>
      <c r="M77" s="1">
        <v>39535000</v>
      </c>
      <c r="N77" s="1">
        <v>49676000</v>
      </c>
    </row>
    <row r="78" spans="1:14" ht="19" x14ac:dyDescent="0.25">
      <c r="A78" s="5" t="s">
        <v>67</v>
      </c>
      <c r="B78" s="1" t="s">
        <v>92</v>
      </c>
      <c r="C78" s="1" t="s">
        <v>92</v>
      </c>
      <c r="D78" s="1" t="s">
        <v>92</v>
      </c>
      <c r="E78" s="1" t="s">
        <v>92</v>
      </c>
      <c r="F78" s="1" t="s">
        <v>92</v>
      </c>
      <c r="G78" s="1" t="s">
        <v>92</v>
      </c>
      <c r="H78" s="1" t="s">
        <v>92</v>
      </c>
      <c r="I78" s="1" t="s">
        <v>92</v>
      </c>
      <c r="J78" s="1" t="s">
        <v>92</v>
      </c>
      <c r="K78" s="1">
        <v>-6037000</v>
      </c>
      <c r="L78" s="1">
        <v>-2738000</v>
      </c>
      <c r="M78" s="1">
        <v>-12045000</v>
      </c>
      <c r="N78" s="1">
        <v>-11055000</v>
      </c>
    </row>
    <row r="79" spans="1:14" ht="19" x14ac:dyDescent="0.25">
      <c r="A79" s="5" t="s">
        <v>68</v>
      </c>
      <c r="B79" s="1" t="s">
        <v>92</v>
      </c>
      <c r="C79" s="1" t="s">
        <v>92</v>
      </c>
      <c r="D79" s="1">
        <v>842000</v>
      </c>
      <c r="E79" s="1">
        <v>1078000</v>
      </c>
      <c r="F79" s="1">
        <v>1082000</v>
      </c>
      <c r="G79" s="1">
        <v>2956000</v>
      </c>
      <c r="H79" s="1">
        <v>9089000</v>
      </c>
      <c r="I79" s="1">
        <v>17564000</v>
      </c>
      <c r="J79" s="1">
        <v>30618000</v>
      </c>
      <c r="K79" s="1">
        <v>60353000</v>
      </c>
      <c r="L79" s="1">
        <v>67309000</v>
      </c>
      <c r="M79" s="1">
        <v>102593000</v>
      </c>
      <c r="N79" s="1">
        <v>145539000</v>
      </c>
    </row>
    <row r="80" spans="1:14" ht="19" x14ac:dyDescent="0.25">
      <c r="A80" s="14" t="s">
        <v>104</v>
      </c>
      <c r="B80" s="15" t="e">
        <f t="shared" ref="B80:N80" si="6">B79/B3</f>
        <v>#VALUE!</v>
      </c>
      <c r="C80" s="15" t="e">
        <f t="shared" si="6"/>
        <v>#VALUE!</v>
      </c>
      <c r="D80" s="15">
        <f t="shared" si="6"/>
        <v>1.1174370612201563E-2</v>
      </c>
      <c r="E80" s="15">
        <f t="shared" si="6"/>
        <v>1.3639526791927627E-2</v>
      </c>
      <c r="F80" s="15">
        <f t="shared" si="6"/>
        <v>8.1220865204891263E-3</v>
      </c>
      <c r="G80" s="15">
        <f t="shared" si="6"/>
        <v>9.0932022468453721E-3</v>
      </c>
      <c r="H80" s="15">
        <f t="shared" si="6"/>
        <v>1.8554924741192587E-2</v>
      </c>
      <c r="I80" s="15">
        <f t="shared" si="6"/>
        <v>2.893360459274024E-2</v>
      </c>
      <c r="J80" s="15">
        <f t="shared" si="6"/>
        <v>3.2668364565206026E-2</v>
      </c>
      <c r="K80" s="15">
        <f t="shared" si="6"/>
        <v>4.2333375419104133E-2</v>
      </c>
      <c r="L80" s="15">
        <f t="shared" si="6"/>
        <v>4.6125085744868496E-2</v>
      </c>
      <c r="M80" s="15">
        <f t="shared" si="6"/>
        <v>5.2240352570059552E-2</v>
      </c>
      <c r="N80" s="15">
        <f t="shared" si="6"/>
        <v>4.6792908288934849E-2</v>
      </c>
    </row>
    <row r="81" spans="1:22" ht="19" x14ac:dyDescent="0.25">
      <c r="A81" s="5" t="s">
        <v>69</v>
      </c>
      <c r="B81" s="1" t="s">
        <v>92</v>
      </c>
      <c r="C81" s="1" t="s">
        <v>92</v>
      </c>
      <c r="D81" s="1">
        <v>3305000</v>
      </c>
      <c r="E81" s="1">
        <v>1339000</v>
      </c>
      <c r="F81" s="1">
        <v>51000</v>
      </c>
      <c r="G81" s="1">
        <v>-18738000</v>
      </c>
      <c r="H81" s="1">
        <v>-37650000</v>
      </c>
      <c r="I81" s="1">
        <v>25713000</v>
      </c>
      <c r="J81" s="1">
        <v>16003000</v>
      </c>
      <c r="K81" s="1">
        <v>26758000</v>
      </c>
      <c r="L81" s="1">
        <v>-20876000</v>
      </c>
      <c r="M81" s="1">
        <v>-118186000</v>
      </c>
      <c r="N81" s="1">
        <v>-379706000</v>
      </c>
    </row>
    <row r="82" spans="1:22" ht="19" x14ac:dyDescent="0.25">
      <c r="A82" s="5" t="s">
        <v>70</v>
      </c>
      <c r="B82" s="1" t="s">
        <v>92</v>
      </c>
      <c r="C82" s="1" t="s">
        <v>92</v>
      </c>
      <c r="D82" s="1">
        <v>-3930000</v>
      </c>
      <c r="E82" s="1">
        <v>-1040000</v>
      </c>
      <c r="F82" s="1">
        <v>-9911000</v>
      </c>
      <c r="G82" s="1">
        <v>-16333000</v>
      </c>
      <c r="H82" s="1">
        <v>-37271000</v>
      </c>
      <c r="I82" s="1">
        <v>-38139000</v>
      </c>
      <c r="J82" s="1">
        <v>-60514000</v>
      </c>
      <c r="K82" s="1">
        <v>-124071000</v>
      </c>
      <c r="L82" s="1">
        <v>86538000</v>
      </c>
      <c r="M82" s="1">
        <v>-247723000</v>
      </c>
      <c r="N82" s="1">
        <v>-457610000</v>
      </c>
    </row>
    <row r="83" spans="1:22" ht="21" x14ac:dyDescent="0.25">
      <c r="A83" s="5" t="s">
        <v>34</v>
      </c>
      <c r="B83" s="1" t="s">
        <v>92</v>
      </c>
      <c r="C83" s="1" t="s">
        <v>92</v>
      </c>
      <c r="D83" s="1">
        <v>-9433000</v>
      </c>
      <c r="E83" s="1">
        <v>-1161000</v>
      </c>
      <c r="F83" s="1">
        <v>-10681000</v>
      </c>
      <c r="G83" s="1">
        <v>-48507000</v>
      </c>
      <c r="H83" s="1">
        <v>-7356000</v>
      </c>
      <c r="I83" s="1">
        <v>-15690000</v>
      </c>
      <c r="J83" s="1">
        <v>-20178000</v>
      </c>
      <c r="K83" s="1">
        <v>-22544000</v>
      </c>
      <c r="L83" s="1">
        <v>-149661000</v>
      </c>
      <c r="M83" s="1">
        <v>-43051000</v>
      </c>
      <c r="N83" s="1">
        <v>-341085000</v>
      </c>
      <c r="U83" s="58" t="s">
        <v>126</v>
      </c>
      <c r="V83" s="59"/>
    </row>
    <row r="84" spans="1:22" ht="19" x14ac:dyDescent="0.25">
      <c r="A84" s="5" t="s">
        <v>47</v>
      </c>
      <c r="B84" s="1" t="s">
        <v>92</v>
      </c>
      <c r="C84" s="1" t="s">
        <v>92</v>
      </c>
      <c r="D84" s="1">
        <v>15419000</v>
      </c>
      <c r="E84" s="1">
        <v>-7928000</v>
      </c>
      <c r="F84" s="1">
        <v>20334000</v>
      </c>
      <c r="G84" s="1">
        <v>41111000</v>
      </c>
      <c r="H84" s="1">
        <v>-32200000</v>
      </c>
      <c r="I84" s="1">
        <v>35455000</v>
      </c>
      <c r="J84" s="1">
        <v>31482000</v>
      </c>
      <c r="K84" s="1">
        <v>47837000</v>
      </c>
      <c r="L84" s="1">
        <v>3333000</v>
      </c>
      <c r="M84" s="1">
        <v>91709000</v>
      </c>
      <c r="N84" s="1">
        <v>194524000</v>
      </c>
      <c r="U84" s="60" t="s">
        <v>127</v>
      </c>
      <c r="V84" s="61"/>
    </row>
    <row r="85" spans="1:22" ht="20" x14ac:dyDescent="0.25">
      <c r="A85" s="5" t="s">
        <v>71</v>
      </c>
      <c r="B85" s="1" t="s">
        <v>92</v>
      </c>
      <c r="C85" s="1" t="s">
        <v>92</v>
      </c>
      <c r="D85" s="1">
        <v>5828000</v>
      </c>
      <c r="E85" s="1">
        <v>5800000</v>
      </c>
      <c r="F85" s="1">
        <v>7303000</v>
      </c>
      <c r="G85" s="1">
        <v>20356000</v>
      </c>
      <c r="H85" s="1">
        <v>21423000</v>
      </c>
      <c r="I85" s="1">
        <v>28791000</v>
      </c>
      <c r="J85" s="1">
        <v>71826000</v>
      </c>
      <c r="K85" s="1">
        <v>136109000</v>
      </c>
      <c r="L85" s="1">
        <v>12245000</v>
      </c>
      <c r="M85" s="1">
        <v>90460000</v>
      </c>
      <c r="N85" s="1">
        <v>164545000</v>
      </c>
      <c r="U85" s="22" t="s">
        <v>128</v>
      </c>
      <c r="V85" s="23">
        <f>N17</f>
        <v>3316000</v>
      </c>
    </row>
    <row r="86" spans="1:22" ht="20" x14ac:dyDescent="0.25">
      <c r="A86" s="5" t="s">
        <v>72</v>
      </c>
      <c r="B86" s="1" t="s">
        <v>92</v>
      </c>
      <c r="C86" s="1" t="s">
        <v>92</v>
      </c>
      <c r="D86" s="1">
        <v>15000</v>
      </c>
      <c r="E86" s="1">
        <v>814000</v>
      </c>
      <c r="F86" s="1">
        <v>422000</v>
      </c>
      <c r="G86" s="1">
        <v>4462000</v>
      </c>
      <c r="H86" s="1">
        <v>532000</v>
      </c>
      <c r="I86" s="1">
        <v>2061000</v>
      </c>
      <c r="J86" s="1">
        <v>1006000</v>
      </c>
      <c r="K86" s="1">
        <v>4482000</v>
      </c>
      <c r="L86" s="1">
        <v>6804000</v>
      </c>
      <c r="M86" s="1">
        <v>33062000</v>
      </c>
      <c r="N86" s="1">
        <v>133051000</v>
      </c>
      <c r="U86" s="22" t="s">
        <v>129</v>
      </c>
      <c r="V86" s="23">
        <f>N56</f>
        <v>0</v>
      </c>
    </row>
    <row r="87" spans="1:22" ht="20" x14ac:dyDescent="0.25">
      <c r="A87" s="6" t="s">
        <v>73</v>
      </c>
      <c r="B87" s="10" t="s">
        <v>92</v>
      </c>
      <c r="C87" s="10" t="s">
        <v>92</v>
      </c>
      <c r="D87" s="10">
        <v>-22338000</v>
      </c>
      <c r="E87" s="10">
        <v>-23107000</v>
      </c>
      <c r="F87" s="10">
        <v>-17845000</v>
      </c>
      <c r="G87" s="10">
        <v>12054000</v>
      </c>
      <c r="H87" s="10">
        <v>52427000</v>
      </c>
      <c r="I87" s="10">
        <v>136665000</v>
      </c>
      <c r="J87" s="10">
        <v>189079000</v>
      </c>
      <c r="K87" s="10">
        <v>259000000</v>
      </c>
      <c r="L87" s="10">
        <v>222655000</v>
      </c>
      <c r="M87" s="10">
        <v>214129000</v>
      </c>
      <c r="N87" s="10">
        <v>31284000</v>
      </c>
      <c r="U87" s="22" t="s">
        <v>130</v>
      </c>
      <c r="V87" s="23">
        <f>N61</f>
        <v>716092000</v>
      </c>
    </row>
    <row r="88" spans="1:22" ht="20" x14ac:dyDescent="0.25">
      <c r="A88" s="5" t="s">
        <v>74</v>
      </c>
      <c r="B88" s="1" t="s">
        <v>92</v>
      </c>
      <c r="C88" s="1" t="s">
        <v>92</v>
      </c>
      <c r="D88" s="1">
        <v>-4013000</v>
      </c>
      <c r="E88" s="1">
        <v>-1539000</v>
      </c>
      <c r="F88" s="1">
        <v>-2990000</v>
      </c>
      <c r="G88" s="1">
        <v>-11765000</v>
      </c>
      <c r="H88" s="1">
        <v>-15690000</v>
      </c>
      <c r="I88" s="1">
        <v>-21382000</v>
      </c>
      <c r="J88" s="1">
        <v>-38608000</v>
      </c>
      <c r="K88" s="1">
        <v>-72562000</v>
      </c>
      <c r="L88" s="1">
        <v>-126790000</v>
      </c>
      <c r="M88" s="1">
        <v>-149251000</v>
      </c>
      <c r="N88" s="1">
        <v>-169341000</v>
      </c>
      <c r="U88" s="30" t="s">
        <v>131</v>
      </c>
      <c r="V88" s="31">
        <f>V85/(V86+V87)</f>
        <v>4.6306899113521729E-3</v>
      </c>
    </row>
    <row r="89" spans="1:22" ht="20" customHeight="1" x14ac:dyDescent="0.25">
      <c r="A89" s="14" t="s">
        <v>105</v>
      </c>
      <c r="B89" s="15" t="e">
        <f t="shared" ref="B89:N89" si="7">(-1*B88)/B3</f>
        <v>#VALUE!</v>
      </c>
      <c r="C89" s="15" t="e">
        <f t="shared" si="7"/>
        <v>#VALUE!</v>
      </c>
      <c r="D89" s="15">
        <f t="shared" si="7"/>
        <v>5.325742193202479E-2</v>
      </c>
      <c r="E89" s="15">
        <f t="shared" si="7"/>
        <v>1.9472385651926362E-2</v>
      </c>
      <c r="F89" s="15">
        <f t="shared" si="7"/>
        <v>2.2444582898579011E-2</v>
      </c>
      <c r="G89" s="15">
        <f t="shared" si="7"/>
        <v>3.6191314084619688E-2</v>
      </c>
      <c r="H89" s="15">
        <f t="shared" si="7"/>
        <v>3.2030671051745153E-2</v>
      </c>
      <c r="I89" s="15">
        <f t="shared" si="7"/>
        <v>3.5223088897857656E-2</v>
      </c>
      <c r="J89" s="15">
        <f t="shared" si="7"/>
        <v>4.1193422794874722E-2</v>
      </c>
      <c r="K89" s="15">
        <f t="shared" si="7"/>
        <v>5.0897128347572353E-2</v>
      </c>
      <c r="L89" s="15">
        <f t="shared" si="7"/>
        <v>8.688584916715264E-2</v>
      </c>
      <c r="M89" s="15">
        <f t="shared" si="7"/>
        <v>7.5998604792080926E-2</v>
      </c>
      <c r="N89" s="15">
        <f t="shared" si="7"/>
        <v>5.4445597967256315E-2</v>
      </c>
      <c r="U89" s="22" t="s">
        <v>106</v>
      </c>
      <c r="V89" s="23">
        <f>N27</f>
        <v>83376000</v>
      </c>
    </row>
    <row r="90" spans="1:22" ht="20" x14ac:dyDescent="0.25">
      <c r="A90" s="5" t="s">
        <v>75</v>
      </c>
      <c r="B90" s="1" t="s">
        <v>92</v>
      </c>
      <c r="C90" s="1" t="s">
        <v>92</v>
      </c>
      <c r="D90" s="1" t="s">
        <v>92</v>
      </c>
      <c r="E90" s="1" t="s">
        <v>92</v>
      </c>
      <c r="F90" s="1" t="s">
        <v>92</v>
      </c>
      <c r="G90" s="1" t="s">
        <v>92</v>
      </c>
      <c r="H90" s="1" t="s">
        <v>92</v>
      </c>
      <c r="I90" s="1" t="s">
        <v>92</v>
      </c>
      <c r="J90" s="1">
        <v>-94737000</v>
      </c>
      <c r="K90" s="1">
        <v>-38435000</v>
      </c>
      <c r="L90" s="1" t="s">
        <v>92</v>
      </c>
      <c r="M90" s="1">
        <v>-16643000</v>
      </c>
      <c r="N90" s="1">
        <v>24362000</v>
      </c>
      <c r="U90" s="22" t="s">
        <v>19</v>
      </c>
      <c r="V90" s="23">
        <f>N25</f>
        <v>177155000</v>
      </c>
    </row>
    <row r="91" spans="1:22" ht="20" x14ac:dyDescent="0.25">
      <c r="A91" s="5" t="s">
        <v>76</v>
      </c>
      <c r="B91" s="1" t="s">
        <v>92</v>
      </c>
      <c r="C91" s="1" t="s">
        <v>92</v>
      </c>
      <c r="D91" s="1" t="s">
        <v>92</v>
      </c>
      <c r="E91" s="1" t="s">
        <v>92</v>
      </c>
      <c r="F91" s="1" t="s">
        <v>92</v>
      </c>
      <c r="G91" s="1" t="s">
        <v>92</v>
      </c>
      <c r="H91" s="1">
        <v>-118511000</v>
      </c>
      <c r="I91" s="1">
        <v>-143675000</v>
      </c>
      <c r="J91" s="1">
        <v>-148628000</v>
      </c>
      <c r="K91" s="1">
        <v>-160054000</v>
      </c>
      <c r="L91" s="1">
        <v>-278457000</v>
      </c>
      <c r="M91" s="1">
        <v>-579377000</v>
      </c>
      <c r="N91" s="1">
        <v>-507171000</v>
      </c>
      <c r="U91" s="30" t="s">
        <v>132</v>
      </c>
      <c r="V91" s="31">
        <f>V89/V90</f>
        <v>0.47063870621771897</v>
      </c>
    </row>
    <row r="92" spans="1:22" ht="20" x14ac:dyDescent="0.25">
      <c r="A92" s="5" t="s">
        <v>77</v>
      </c>
      <c r="B92" s="1" t="s">
        <v>92</v>
      </c>
      <c r="C92" s="1" t="s">
        <v>92</v>
      </c>
      <c r="D92" s="1" t="s">
        <v>92</v>
      </c>
      <c r="E92" s="1" t="s">
        <v>92</v>
      </c>
      <c r="F92" s="1" t="s">
        <v>92</v>
      </c>
      <c r="G92" s="1" t="s">
        <v>92</v>
      </c>
      <c r="H92" s="1">
        <v>6350000</v>
      </c>
      <c r="I92" s="1">
        <v>80269000</v>
      </c>
      <c r="J92" s="1">
        <v>129345000</v>
      </c>
      <c r="K92" s="1">
        <v>147604000</v>
      </c>
      <c r="L92" s="1">
        <v>141839000</v>
      </c>
      <c r="M92" s="1">
        <v>262284000</v>
      </c>
      <c r="N92" s="1">
        <v>231210000</v>
      </c>
      <c r="U92" s="32" t="s">
        <v>133</v>
      </c>
      <c r="V92" s="33">
        <f>V88*(1-V91)</f>
        <v>2.4513080025779423E-3</v>
      </c>
    </row>
    <row r="93" spans="1:22" ht="19" x14ac:dyDescent="0.25">
      <c r="A93" s="5" t="s">
        <v>78</v>
      </c>
      <c r="B93" s="1" t="s">
        <v>92</v>
      </c>
      <c r="C93" s="1" t="s">
        <v>92</v>
      </c>
      <c r="D93" s="1">
        <v>1835000</v>
      </c>
      <c r="E93" s="1">
        <v>-1239000</v>
      </c>
      <c r="F93" s="1">
        <v>-157000</v>
      </c>
      <c r="G93" s="1">
        <v>-2172000</v>
      </c>
      <c r="H93" s="1">
        <v>2014000</v>
      </c>
      <c r="I93" s="1">
        <v>-619000</v>
      </c>
      <c r="J93" s="1" t="s">
        <v>92</v>
      </c>
      <c r="K93" s="1">
        <v>-29406000</v>
      </c>
      <c r="L93" s="1">
        <v>26771000</v>
      </c>
      <c r="M93" s="1">
        <v>-1224000</v>
      </c>
      <c r="N93" s="1">
        <v>3896000</v>
      </c>
      <c r="U93" s="62" t="s">
        <v>134</v>
      </c>
      <c r="V93" s="63"/>
    </row>
    <row r="94" spans="1:22" ht="20" x14ac:dyDescent="0.25">
      <c r="A94" s="6" t="s">
        <v>79</v>
      </c>
      <c r="B94" s="10" t="s">
        <v>92</v>
      </c>
      <c r="C94" s="10" t="s">
        <v>92</v>
      </c>
      <c r="D94" s="10">
        <v>-2178000</v>
      </c>
      <c r="E94" s="10">
        <v>-2778000</v>
      </c>
      <c r="F94" s="10">
        <v>-3147000</v>
      </c>
      <c r="G94" s="10">
        <v>-13937000</v>
      </c>
      <c r="H94" s="10">
        <v>-125837000</v>
      </c>
      <c r="I94" s="10">
        <v>-85407000</v>
      </c>
      <c r="J94" s="10">
        <v>-152628000</v>
      </c>
      <c r="K94" s="10">
        <v>-152853000</v>
      </c>
      <c r="L94" s="10">
        <v>-236637000</v>
      </c>
      <c r="M94" s="10">
        <v>-484211000</v>
      </c>
      <c r="N94" s="10">
        <v>-417044000</v>
      </c>
      <c r="U94" s="22" t="s">
        <v>135</v>
      </c>
      <c r="V94" s="34">
        <v>4.095E-2</v>
      </c>
    </row>
    <row r="95" spans="1:22" ht="20" x14ac:dyDescent="0.25">
      <c r="A95" s="5" t="s">
        <v>80</v>
      </c>
      <c r="B95" s="1" t="s">
        <v>92</v>
      </c>
      <c r="C95" s="1" t="s">
        <v>92</v>
      </c>
      <c r="D95" s="1">
        <v>-2200000</v>
      </c>
      <c r="E95" s="1">
        <v>-18454000</v>
      </c>
      <c r="F95" s="1">
        <v>-14848000</v>
      </c>
      <c r="G95" s="1">
        <v>-42245000</v>
      </c>
      <c r="H95" s="1" t="s">
        <v>92</v>
      </c>
      <c r="I95" s="1" t="s">
        <v>92</v>
      </c>
      <c r="J95" s="1">
        <v>-3786000</v>
      </c>
      <c r="K95" s="1">
        <v>-9265000</v>
      </c>
      <c r="L95" s="1">
        <v>-15595000</v>
      </c>
      <c r="M95" s="1">
        <v>-16073000</v>
      </c>
      <c r="N95" s="1">
        <v>-138000</v>
      </c>
      <c r="U95" s="22" t="s">
        <v>136</v>
      </c>
      <c r="V95" s="35" cm="1">
        <f t="array" ref="V95">_FV(A1,"Beta")</f>
        <v>1.4195</v>
      </c>
    </row>
    <row r="96" spans="1:22" ht="20" x14ac:dyDescent="0.25">
      <c r="A96" s="5" t="s">
        <v>81</v>
      </c>
      <c r="B96" s="1" t="s">
        <v>92</v>
      </c>
      <c r="C96" s="1" t="s">
        <v>92</v>
      </c>
      <c r="D96" s="1" t="s">
        <v>92</v>
      </c>
      <c r="E96" s="1" t="s">
        <v>92</v>
      </c>
      <c r="F96" s="1" t="s">
        <v>92</v>
      </c>
      <c r="G96" s="1">
        <v>131402000</v>
      </c>
      <c r="H96" s="1" t="s">
        <v>92</v>
      </c>
      <c r="I96" s="1" t="s">
        <v>92</v>
      </c>
      <c r="J96" s="1" t="s">
        <v>92</v>
      </c>
      <c r="K96" s="1" t="s">
        <v>92</v>
      </c>
      <c r="L96" s="1" t="s">
        <v>92</v>
      </c>
      <c r="M96" s="1" t="s">
        <v>92</v>
      </c>
      <c r="N96" s="1">
        <v>650526000</v>
      </c>
      <c r="U96" s="22" t="s">
        <v>137</v>
      </c>
      <c r="V96" s="34">
        <v>8.4000000000000005E-2</v>
      </c>
    </row>
    <row r="97" spans="1:22"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U97" s="32" t="s">
        <v>138</v>
      </c>
      <c r="V97" s="33">
        <f>(V94)+((V95)*(V96-V94))</f>
        <v>0.10205947500000001</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2" t="s">
        <v>139</v>
      </c>
      <c r="V98" s="63"/>
    </row>
    <row r="99" spans="1:22" ht="20" x14ac:dyDescent="0.25">
      <c r="A99" s="5" t="s">
        <v>84</v>
      </c>
      <c r="B99" s="1" t="s">
        <v>92</v>
      </c>
      <c r="C99" s="1" t="s">
        <v>92</v>
      </c>
      <c r="D99" s="1">
        <v>42617000</v>
      </c>
      <c r="E99" s="1">
        <v>38130000</v>
      </c>
      <c r="F99" s="1">
        <v>32524000</v>
      </c>
      <c r="G99" s="1">
        <v>47796000</v>
      </c>
      <c r="H99" s="1">
        <v>2779000</v>
      </c>
      <c r="I99" s="1">
        <v>7240000</v>
      </c>
      <c r="J99" s="1">
        <v>-4169000</v>
      </c>
      <c r="K99" s="1">
        <v>-63756000</v>
      </c>
      <c r="L99" s="1">
        <v>656079000</v>
      </c>
      <c r="M99" s="1">
        <v>895000</v>
      </c>
      <c r="N99" s="1">
        <v>4219000</v>
      </c>
      <c r="U99" s="22" t="s">
        <v>140</v>
      </c>
      <c r="V99" s="23">
        <f>V86+V87</f>
        <v>716092000</v>
      </c>
    </row>
    <row r="100" spans="1:22" ht="20" x14ac:dyDescent="0.25">
      <c r="A100" s="6" t="s">
        <v>85</v>
      </c>
      <c r="B100" s="10" t="s">
        <v>92</v>
      </c>
      <c r="C100" s="10" t="s">
        <v>92</v>
      </c>
      <c r="D100" s="10">
        <v>40417000</v>
      </c>
      <c r="E100" s="10">
        <v>19676000</v>
      </c>
      <c r="F100" s="10">
        <v>17676000</v>
      </c>
      <c r="G100" s="10">
        <v>136953000</v>
      </c>
      <c r="H100" s="10">
        <v>2779000</v>
      </c>
      <c r="I100" s="10">
        <v>7240000</v>
      </c>
      <c r="J100" s="10">
        <v>-7955000</v>
      </c>
      <c r="K100" s="10">
        <v>-73021000</v>
      </c>
      <c r="L100" s="10">
        <v>640484000</v>
      </c>
      <c r="M100" s="10">
        <v>-15178000</v>
      </c>
      <c r="N100" s="10">
        <v>654607000</v>
      </c>
      <c r="U100" s="30" t="s">
        <v>141</v>
      </c>
      <c r="V100" s="31">
        <f>V99/V103</f>
        <v>4.1040970142299342E-2</v>
      </c>
    </row>
    <row r="101" spans="1:22" ht="20" x14ac:dyDescent="0.25">
      <c r="A101" s="5" t="s">
        <v>86</v>
      </c>
      <c r="B101" s="1" t="s">
        <v>92</v>
      </c>
      <c r="C101" s="1" t="s">
        <v>92</v>
      </c>
      <c r="D101" s="1">
        <v>43000</v>
      </c>
      <c r="E101" s="1">
        <v>-86000</v>
      </c>
      <c r="F101" s="1">
        <v>-72000</v>
      </c>
      <c r="G101" s="1">
        <v>-74000</v>
      </c>
      <c r="H101" s="1">
        <v>-87000</v>
      </c>
      <c r="I101" s="1">
        <v>-18000</v>
      </c>
      <c r="J101" s="1">
        <v>86000</v>
      </c>
      <c r="K101" s="1">
        <v>3011000</v>
      </c>
      <c r="L101" s="1">
        <v>-23257000</v>
      </c>
      <c r="M101" s="1">
        <v>-11797000</v>
      </c>
      <c r="N101" s="1">
        <v>-15824000</v>
      </c>
      <c r="U101" s="22" t="s">
        <v>142</v>
      </c>
      <c r="V101" s="36" cm="1">
        <f t="array" ref="V101">_FV(A1,"Market cap",TRUE)</f>
        <v>16732131020</v>
      </c>
    </row>
    <row r="102" spans="1:22" ht="20" x14ac:dyDescent="0.25">
      <c r="A102" s="6" t="s">
        <v>87</v>
      </c>
      <c r="B102" s="10" t="s">
        <v>92</v>
      </c>
      <c r="C102" s="10" t="s">
        <v>92</v>
      </c>
      <c r="D102" s="10">
        <v>15944000</v>
      </c>
      <c r="E102" s="10">
        <v>-6295000</v>
      </c>
      <c r="F102" s="10">
        <v>-3388000</v>
      </c>
      <c r="G102" s="10">
        <v>134996000</v>
      </c>
      <c r="H102" s="10">
        <v>-70718000</v>
      </c>
      <c r="I102" s="10">
        <v>58480000</v>
      </c>
      <c r="J102" s="10">
        <v>28582000</v>
      </c>
      <c r="K102" s="10">
        <v>36137000</v>
      </c>
      <c r="L102" s="10">
        <v>603245000</v>
      </c>
      <c r="M102" s="10">
        <v>-297057000</v>
      </c>
      <c r="N102" s="10">
        <v>253023000</v>
      </c>
      <c r="U102" s="30" t="s">
        <v>143</v>
      </c>
      <c r="V102" s="31">
        <f>V101/V103</f>
        <v>0.95895902985770065</v>
      </c>
    </row>
    <row r="103" spans="1:22" ht="20" x14ac:dyDescent="0.25">
      <c r="A103" s="5" t="s">
        <v>88</v>
      </c>
      <c r="B103" s="1" t="s">
        <v>92</v>
      </c>
      <c r="C103" s="1" t="s">
        <v>92</v>
      </c>
      <c r="D103" s="1">
        <v>3493000</v>
      </c>
      <c r="E103" s="1">
        <v>19437000</v>
      </c>
      <c r="F103" s="1">
        <v>13142000</v>
      </c>
      <c r="G103" s="1">
        <v>9754000</v>
      </c>
      <c r="H103" s="1">
        <v>144750000</v>
      </c>
      <c r="I103" s="1">
        <v>104683000</v>
      </c>
      <c r="J103" s="1">
        <v>164679000</v>
      </c>
      <c r="K103" s="1">
        <v>187764000</v>
      </c>
      <c r="L103" s="1">
        <v>223901000</v>
      </c>
      <c r="M103" s="1">
        <v>827146000</v>
      </c>
      <c r="N103" s="1">
        <v>530089000</v>
      </c>
      <c r="U103" s="32" t="s">
        <v>144</v>
      </c>
      <c r="V103" s="37">
        <f>V99+V101</f>
        <v>17448223020</v>
      </c>
    </row>
    <row r="104" spans="1:22" ht="20" thickBot="1" x14ac:dyDescent="0.3">
      <c r="A104" s="7" t="s">
        <v>89</v>
      </c>
      <c r="B104" s="11" t="s">
        <v>92</v>
      </c>
      <c r="C104" s="11" t="s">
        <v>92</v>
      </c>
      <c r="D104" s="11">
        <v>19437000</v>
      </c>
      <c r="E104" s="11">
        <v>13142000</v>
      </c>
      <c r="F104" s="11">
        <v>9754000</v>
      </c>
      <c r="G104" s="11">
        <v>144750000</v>
      </c>
      <c r="H104" s="11">
        <v>74032000</v>
      </c>
      <c r="I104" s="11">
        <v>163163000</v>
      </c>
      <c r="J104" s="11">
        <v>193261000</v>
      </c>
      <c r="K104" s="11">
        <v>223901000</v>
      </c>
      <c r="L104" s="11">
        <v>827146000</v>
      </c>
      <c r="M104" s="11">
        <v>530089000</v>
      </c>
      <c r="N104" s="11">
        <v>783112000</v>
      </c>
      <c r="U104" s="60" t="s">
        <v>145</v>
      </c>
      <c r="V104" s="61"/>
    </row>
    <row r="105" spans="1:22" ht="21" thickTop="1" x14ac:dyDescent="0.25">
      <c r="A105" s="14" t="s">
        <v>107</v>
      </c>
      <c r="B105" s="1"/>
      <c r="C105" s="15" t="e">
        <f>(C106/B106)-1</f>
        <v>#VALUE!</v>
      </c>
      <c r="D105" s="15" t="e">
        <f>(D106/C106)-1</f>
        <v>#VALUE!</v>
      </c>
      <c r="E105" s="15">
        <f>(E106/D106)-1</f>
        <v>-6.4703426814921583E-2</v>
      </c>
      <c r="F105" s="15">
        <f>(F106/E106)-1</f>
        <v>-0.1546295544916011</v>
      </c>
      <c r="G105" s="15">
        <f>(G106/F106)-1</f>
        <v>-1.0138708903287736</v>
      </c>
      <c r="H105" s="15">
        <f t="shared" ref="H105:N105" si="8">(H106/G106)-1</f>
        <v>123.34948096885813</v>
      </c>
      <c r="I105" s="15">
        <f t="shared" si="8"/>
        <v>2.2079194145309846</v>
      </c>
      <c r="J105" s="15">
        <f t="shared" si="8"/>
        <v>0.30523147385130511</v>
      </c>
      <c r="K105" s="15">
        <f t="shared" si="8"/>
        <v>0.23902944753474098</v>
      </c>
      <c r="L105" s="15">
        <f t="shared" si="8"/>
        <v>-0.48580761432755126</v>
      </c>
      <c r="M105" s="15">
        <f t="shared" si="8"/>
        <v>-0.32323580034423405</v>
      </c>
      <c r="N105" s="15">
        <f t="shared" si="8"/>
        <v>-3.1279478405622863</v>
      </c>
      <c r="O105" s="64">
        <v>289400000</v>
      </c>
      <c r="P105" s="64">
        <v>456900000</v>
      </c>
      <c r="Q105" s="64">
        <v>650400000</v>
      </c>
      <c r="R105" s="64">
        <v>816100000</v>
      </c>
      <c r="S105" s="64">
        <v>1016000000</v>
      </c>
      <c r="T105" s="15"/>
      <c r="U105" s="24" t="s">
        <v>108</v>
      </c>
      <c r="V105" s="25">
        <f>(V100*V92)+(V102*V97)</f>
        <v>9.7971459192329649E-2</v>
      </c>
    </row>
    <row r="106" spans="1:22" ht="19" x14ac:dyDescent="0.25">
      <c r="A106" s="5" t="s">
        <v>90</v>
      </c>
      <c r="B106" s="1" t="s">
        <v>92</v>
      </c>
      <c r="C106" s="1" t="s">
        <v>92</v>
      </c>
      <c r="D106" s="1">
        <v>-26351000</v>
      </c>
      <c r="E106" s="1">
        <v>-24646000</v>
      </c>
      <c r="F106" s="1">
        <v>-20835000</v>
      </c>
      <c r="G106" s="1">
        <v>289000</v>
      </c>
      <c r="H106" s="1">
        <v>35937000</v>
      </c>
      <c r="I106" s="1">
        <v>115283000</v>
      </c>
      <c r="J106" s="1">
        <v>150471000</v>
      </c>
      <c r="K106" s="1">
        <v>186438000</v>
      </c>
      <c r="L106" s="1">
        <v>95865000</v>
      </c>
      <c r="M106" s="1">
        <v>64878000</v>
      </c>
      <c r="N106" s="1">
        <v>-138057000</v>
      </c>
      <c r="O106" s="38">
        <f>N106*(1+$V$106)</f>
        <v>-162860241.57189405</v>
      </c>
      <c r="P106" s="38">
        <f t="shared" ref="P106:S106" si="9">O106*(1+$V$106)</f>
        <v>-192119619.32285714</v>
      </c>
      <c r="Q106" s="38">
        <f t="shared" si="9"/>
        <v>-226635720.12734479</v>
      </c>
      <c r="R106" s="38">
        <f t="shared" si="9"/>
        <v>-267352963.83928046</v>
      </c>
      <c r="S106" s="38">
        <f t="shared" si="9"/>
        <v>-315385444.24279153</v>
      </c>
      <c r="T106" s="39" t="s">
        <v>146</v>
      </c>
      <c r="U106" s="40" t="s">
        <v>147</v>
      </c>
      <c r="V106" s="41">
        <f>(SUM(O4:S4)/5)</f>
        <v>0.17965942742413685</v>
      </c>
    </row>
    <row r="107" spans="1:22" ht="19" x14ac:dyDescent="0.25">
      <c r="A107" s="5"/>
      <c r="B107" s="13"/>
      <c r="C107" s="13"/>
      <c r="D107" s="13"/>
      <c r="E107" s="13"/>
      <c r="F107" s="13"/>
      <c r="G107" s="13"/>
      <c r="H107" s="13"/>
      <c r="I107" s="13"/>
      <c r="J107" s="13"/>
      <c r="K107" s="13"/>
      <c r="L107" s="13"/>
      <c r="M107" s="13"/>
      <c r="N107" s="13"/>
      <c r="O107" s="39"/>
      <c r="P107" s="39"/>
      <c r="Q107" s="39"/>
      <c r="R107" s="39"/>
      <c r="S107" s="65">
        <f>S105*(1+V107)/(V108-V107)</f>
        <v>14271333087.299234</v>
      </c>
      <c r="T107" s="43" t="s">
        <v>148</v>
      </c>
      <c r="U107" s="44" t="s">
        <v>149</v>
      </c>
      <c r="V107" s="45">
        <v>2.5000000000000001E-2</v>
      </c>
    </row>
    <row r="108" spans="1:22" ht="19" x14ac:dyDescent="0.25">
      <c r="O108" s="42">
        <f t="shared" ref="O108:Q108" si="10">O107+O106</f>
        <v>-162860241.57189405</v>
      </c>
      <c r="P108" s="42">
        <f t="shared" si="10"/>
        <v>-192119619.32285714</v>
      </c>
      <c r="Q108" s="42">
        <f t="shared" si="10"/>
        <v>-226635720.12734479</v>
      </c>
      <c r="R108" s="42">
        <f>R107+R106</f>
        <v>-267352963.83928046</v>
      </c>
      <c r="S108" s="65">
        <f>S107+S105</f>
        <v>15287333087.299234</v>
      </c>
      <c r="T108" s="43" t="s">
        <v>144</v>
      </c>
      <c r="U108" s="46" t="s">
        <v>150</v>
      </c>
      <c r="V108" s="47">
        <f>V105</f>
        <v>9.7971459192329649E-2</v>
      </c>
    </row>
    <row r="109" spans="1:22" ht="19" x14ac:dyDescent="0.25">
      <c r="O109" s="56" t="s">
        <v>151</v>
      </c>
      <c r="P109" s="57"/>
    </row>
    <row r="110" spans="1:22" ht="20" x14ac:dyDescent="0.25">
      <c r="O110" s="48" t="s">
        <v>152</v>
      </c>
      <c r="P110" s="36">
        <f>NPV(V108,O108,P108,Q108,R108,S108)</f>
        <v>8917370584.8230877</v>
      </c>
    </row>
    <row r="111" spans="1:22" ht="20" x14ac:dyDescent="0.25">
      <c r="O111" s="48" t="s">
        <v>153</v>
      </c>
      <c r="P111" s="36">
        <f>N40</f>
        <v>1024229000</v>
      </c>
    </row>
    <row r="112" spans="1:22" ht="20" x14ac:dyDescent="0.25">
      <c r="O112" s="48" t="s">
        <v>140</v>
      </c>
      <c r="P112" s="36">
        <f>V99</f>
        <v>716092000</v>
      </c>
    </row>
    <row r="113" spans="15:16" ht="20" x14ac:dyDescent="0.25">
      <c r="O113" s="48" t="s">
        <v>154</v>
      </c>
      <c r="P113" s="36">
        <f>P110+P111-P112</f>
        <v>9225507584.8230877</v>
      </c>
    </row>
    <row r="114" spans="15:16" ht="20" x14ac:dyDescent="0.25">
      <c r="O114" s="48" t="s">
        <v>155</v>
      </c>
      <c r="P114" s="49">
        <f>N34*(1+(5*T16))</f>
        <v>72898725.091715693</v>
      </c>
    </row>
    <row r="115" spans="15:16" ht="20" x14ac:dyDescent="0.25">
      <c r="O115" s="50" t="s">
        <v>156</v>
      </c>
      <c r="P115" s="51">
        <f>P113/P114</f>
        <v>126.55238583687503</v>
      </c>
    </row>
    <row r="116" spans="15:16" ht="20" x14ac:dyDescent="0.25">
      <c r="O116" s="48" t="s">
        <v>157</v>
      </c>
      <c r="P116" s="52" cm="1">
        <f t="array" ref="P116">_FV(A1,"Price")</f>
        <v>296.95999999999998</v>
      </c>
    </row>
    <row r="117" spans="15:16" ht="20" x14ac:dyDescent="0.25">
      <c r="O117" s="53" t="s">
        <v>158</v>
      </c>
      <c r="P117" s="54">
        <f>P115/P116-1</f>
        <v>-0.57384029553854043</v>
      </c>
    </row>
    <row r="118" spans="15:16" ht="20" x14ac:dyDescent="0.25">
      <c r="O118" s="53" t="s">
        <v>159</v>
      </c>
      <c r="P118" s="55" t="str">
        <f>IF(P115&gt;P116,"BUY","SELL")</f>
        <v>SELL</v>
      </c>
    </row>
  </sheetData>
  <mergeCells count="6">
    <mergeCell ref="O109:P109"/>
    <mergeCell ref="U83:V83"/>
    <mergeCell ref="U84:V84"/>
    <mergeCell ref="U93:V93"/>
    <mergeCell ref="U98:V98"/>
    <mergeCell ref="U104:V104"/>
  </mergeCells>
  <hyperlinks>
    <hyperlink ref="A1" r:id="rId1" tooltip="https://roic.ai/company/SEDG" display="ROIC.AI | SED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19612/000117891315002692/0001178913-15-002692-index.htm" xr:uid="{00000000-0004-0000-0000-000010000000}"/>
    <hyperlink ref="G74" r:id="rId13" tooltip="https://www.sec.gov/Archives/edgar/data/1419612/000117891315002692/0001178913-15-002692-index.htm" xr:uid="{00000000-0004-0000-0000-000011000000}"/>
    <hyperlink ref="H36" r:id="rId14" tooltip="https://www.sec.gov/Archives/edgar/data/1419612/000117891316006268/0001178913-16-006268-index.htm" xr:uid="{00000000-0004-0000-0000-000013000000}"/>
    <hyperlink ref="H74" r:id="rId15" tooltip="https://www.sec.gov/Archives/edgar/data/1419612/000117891316006268/0001178913-16-006268-index.htm" xr:uid="{00000000-0004-0000-0000-000014000000}"/>
    <hyperlink ref="I36" r:id="rId16" tooltip="https://www.sec.gov/Archives/edgar/data/1419612/000117891318000655/0001178913-18-000655-index.htm" xr:uid="{00000000-0004-0000-0000-000016000000}"/>
    <hyperlink ref="I74" r:id="rId17" tooltip="https://www.sec.gov/Archives/edgar/data/1419612/000117891318000655/0001178913-18-000655-index.htm" xr:uid="{00000000-0004-0000-0000-000017000000}"/>
    <hyperlink ref="J36" r:id="rId18" tooltip="https://www.sec.gov/Archives/edgar/data/1419612/000117891319000721/0001178913-19-000721-index.htm" xr:uid="{00000000-0004-0000-0000-000019000000}"/>
    <hyperlink ref="J74" r:id="rId19" tooltip="https://www.sec.gov/Archives/edgar/data/1419612/000117891319000721/0001178913-19-000721-index.htm" xr:uid="{00000000-0004-0000-0000-00001A000000}"/>
    <hyperlink ref="K36" r:id="rId20" tooltip="https://www.sec.gov/Archives/edgar/data/1419612/000117891320000672/0001178913-20-000672-index.htm" xr:uid="{00000000-0004-0000-0000-00001C000000}"/>
    <hyperlink ref="K74" r:id="rId21" tooltip="https://www.sec.gov/Archives/edgar/data/1419612/000117891320000672/0001178913-20-000672-index.htm" xr:uid="{00000000-0004-0000-0000-00001D000000}"/>
    <hyperlink ref="L36" r:id="rId22" tooltip="https://www.sec.gov/Archives/edgar/data/1419612/000117891321000696/0001178913-21-000696-index.htm" xr:uid="{00000000-0004-0000-0000-00001F000000}"/>
    <hyperlink ref="L74" r:id="rId23" tooltip="https://www.sec.gov/Archives/edgar/data/1419612/000117891321000696/0001178913-21-000696-index.htm" xr:uid="{00000000-0004-0000-0000-000020000000}"/>
    <hyperlink ref="M36" r:id="rId24" tooltip="https://www.sec.gov/Archives/edgar/data/1419612/000117891322000760/0001178913-22-000760-index.htm" xr:uid="{00000000-0004-0000-0000-000022000000}"/>
    <hyperlink ref="M74" r:id="rId25" tooltip="https://www.sec.gov/Archives/edgar/data/1419612/000117891322000760/0001178913-22-000760-index.htm" xr:uid="{00000000-0004-0000-0000-000023000000}"/>
    <hyperlink ref="N36" r:id="rId26" tooltip="https://www.sec.gov/Archives/edgar/data/1419612/000117891323000707/0001178913-23-000707-index.htm" xr:uid="{00000000-0004-0000-0000-000025000000}"/>
    <hyperlink ref="N74" r:id="rId27" tooltip="https://www.sec.gov/Archives/edgar/data/1419612/000117891323000707/0001178913-23-000707-index.htm" xr:uid="{00000000-0004-0000-0000-000026000000}"/>
    <hyperlink ref="O1" r:id="rId28" display="https://finbox.com/NASDAQGS:SEDG/explorer/revenue_proj" xr:uid="{D493EC0E-B293-084B-AEB6-3ABBD0E15289}"/>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2023-03-13T00:16:18Z</dcterms:created>
  <dcterms:modified xsi:type="dcterms:W3CDTF">2023-05-26T07:10:15Z</dcterms:modified>
</cp:coreProperties>
</file>