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B7C740AE-B3E1-5A4A-B606-7ECBC8458051}"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9" i="1" l="1"/>
  <c r="Q19" i="1"/>
  <c r="K29" i="1"/>
  <c r="L29" i="1"/>
  <c r="M29" i="1"/>
  <c r="N29" i="1"/>
  <c r="O29" i="1"/>
  <c r="K30" i="1"/>
  <c r="L30" i="1"/>
  <c r="M30" i="1"/>
  <c r="N30" i="1"/>
  <c r="O30" i="1"/>
  <c r="K20" i="1"/>
  <c r="L20" i="1"/>
  <c r="M20" i="1"/>
  <c r="N20" i="1"/>
  <c r="O20" i="1"/>
  <c r="K21" i="1"/>
  <c r="L21" i="1"/>
  <c r="M21" i="1"/>
  <c r="N21" i="1"/>
  <c r="O21" i="1"/>
  <c r="L116" i="1" a="1"/>
  <c r="L116" i="1" s="1"/>
  <c r="R101" i="1" a="1"/>
  <c r="R101" i="1" s="1"/>
  <c r="R95" i="1" a="1"/>
  <c r="R95" i="1" s="1"/>
  <c r="R97" i="1" s="1"/>
  <c r="L111" i="1"/>
  <c r="R90" i="1"/>
  <c r="R89" i="1"/>
  <c r="R91" i="1" s="1"/>
  <c r="R87" i="1"/>
  <c r="R86" i="1"/>
  <c r="R99" i="1" s="1"/>
  <c r="R85" i="1"/>
  <c r="R88" i="1" s="1"/>
  <c r="R92" i="1" s="1"/>
  <c r="P19" i="1"/>
  <c r="P16" i="1"/>
  <c r="L114" i="1" s="1"/>
  <c r="S13" i="1"/>
  <c r="R13" i="1"/>
  <c r="Q13" i="1"/>
  <c r="P13" i="1"/>
  <c r="S10" i="1"/>
  <c r="R10" i="1"/>
  <c r="Q10" i="1"/>
  <c r="P10" i="1"/>
  <c r="S7" i="1"/>
  <c r="R7" i="1"/>
  <c r="Q7" i="1"/>
  <c r="P7" i="1"/>
  <c r="S4" i="1"/>
  <c r="R4" i="1"/>
  <c r="Q4" i="1"/>
  <c r="P4" i="1"/>
  <c r="O4" i="1"/>
  <c r="N4" i="1"/>
  <c r="M4" i="1"/>
  <c r="L4" i="1"/>
  <c r="K4" i="1"/>
  <c r="J77" i="1"/>
  <c r="J76" i="1"/>
  <c r="J73" i="1"/>
  <c r="J67" i="1"/>
  <c r="J65" i="1"/>
  <c r="J30" i="1"/>
  <c r="J26" i="1"/>
  <c r="J25" i="1"/>
  <c r="J23" i="1"/>
  <c r="J21" i="1"/>
  <c r="J7" i="1"/>
  <c r="J6" i="1"/>
  <c r="R106" i="1" l="1"/>
  <c r="K106" i="1" s="1"/>
  <c r="S16" i="1"/>
  <c r="Q16" i="1"/>
  <c r="R16" i="1"/>
  <c r="R103" i="1"/>
  <c r="R100" i="1" s="1"/>
  <c r="L112" i="1"/>
  <c r="L106" i="1" l="1"/>
  <c r="K108" i="1"/>
  <c r="R102" i="1"/>
  <c r="R105" i="1" s="1"/>
  <c r="R108" i="1" s="1"/>
  <c r="M106" i="1" l="1"/>
  <c r="L108" i="1"/>
  <c r="N106" i="1" l="1"/>
  <c r="M108" i="1"/>
  <c r="J105" i="1"/>
  <c r="I105" i="1"/>
  <c r="H105" i="1"/>
  <c r="G105" i="1"/>
  <c r="F105" i="1"/>
  <c r="E105" i="1"/>
  <c r="D105" i="1"/>
  <c r="C105" i="1"/>
  <c r="J89" i="1"/>
  <c r="I89" i="1"/>
  <c r="H89" i="1"/>
  <c r="G89" i="1"/>
  <c r="F89" i="1"/>
  <c r="E89" i="1"/>
  <c r="D89" i="1"/>
  <c r="C89" i="1"/>
  <c r="B89" i="1"/>
  <c r="J80" i="1"/>
  <c r="I80" i="1"/>
  <c r="H80" i="1"/>
  <c r="G80" i="1"/>
  <c r="F80" i="1"/>
  <c r="E80" i="1"/>
  <c r="D80" i="1"/>
  <c r="C80" i="1"/>
  <c r="B80" i="1"/>
  <c r="J35" i="1"/>
  <c r="I35" i="1"/>
  <c r="H35" i="1"/>
  <c r="G35" i="1"/>
  <c r="F35" i="1"/>
  <c r="E35" i="1"/>
  <c r="D35" i="1"/>
  <c r="C35" i="1"/>
  <c r="J29" i="1"/>
  <c r="I29" i="1"/>
  <c r="H29" i="1"/>
  <c r="G29" i="1"/>
  <c r="F29" i="1"/>
  <c r="E29" i="1"/>
  <c r="D29" i="1"/>
  <c r="C29" i="1"/>
  <c r="J20" i="1"/>
  <c r="I20" i="1"/>
  <c r="H20" i="1"/>
  <c r="G20" i="1"/>
  <c r="F20" i="1"/>
  <c r="E20" i="1"/>
  <c r="D20" i="1"/>
  <c r="C20" i="1"/>
  <c r="J13" i="1"/>
  <c r="I13" i="1"/>
  <c r="H13" i="1"/>
  <c r="G13" i="1"/>
  <c r="F13" i="1"/>
  <c r="E13" i="1"/>
  <c r="D13" i="1"/>
  <c r="C13" i="1"/>
  <c r="B13" i="1"/>
  <c r="J9" i="1"/>
  <c r="I9" i="1"/>
  <c r="H9" i="1"/>
  <c r="G9" i="1"/>
  <c r="F9" i="1"/>
  <c r="E9" i="1"/>
  <c r="D9" i="1"/>
  <c r="C9" i="1"/>
  <c r="B9" i="1"/>
  <c r="J4" i="1"/>
  <c r="I4" i="1"/>
  <c r="H4" i="1"/>
  <c r="G4" i="1"/>
  <c r="F4" i="1"/>
  <c r="E4" i="1"/>
  <c r="D4" i="1"/>
  <c r="C4" i="1"/>
  <c r="O106" i="1" l="1"/>
  <c r="O107" i="1" s="1"/>
  <c r="O108" i="1" s="1"/>
  <c r="N108" i="1"/>
  <c r="L110" i="1" l="1"/>
  <c r="L113" i="1" s="1"/>
  <c r="L115" i="1" s="1"/>
  <c r="L117" i="1" s="1"/>
  <c r="L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<sst xmlns="http://schemas.openxmlformats.org/spreadsheetml/2006/main" count="393" uniqueCount="162">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</sst>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3" fillId="0" borderId="2" xfId="0" applyNumberFormat="1" applyFont="1" applyBorder="1"/>
    <xf numFmtId="165" fontId="10" fillId="0" borderId="15" xfId="0" applyNumberFormat="1" applyFont="1" applyBorder="1"/>
    <xf numFmtId="166" fontId="10" fillId="0" borderId="0" xfId="0" applyNumberFormat="1" applyFont="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64" fontId="13" fillId="0" borderId="3" xfId="0" applyNumberFormat="1" applyFont="1" applyBorder="1"/>
    <xf numFmtId="165" fontId="10" fillId="0" borderId="0" xfId="0" applyNumberFormat="1" applyFont="1"/>
    <xf numFmtId="170" fontId="11" fillId="0" borderId="11" xfId="0" applyNumberFormat="1" applyFont="1" applyBorder="1" applyAlignment="1">
      <alignment horizontal="center"/>
    </xf>
    <xf numFmtId="170" fontId="11" fillId="0" borderId="5" xfId="0" applyNumberFormat="1" applyFont="1" applyBorder="1" applyAlignment="1">
      <alignment horizontal="center"/>
    </xf>
    <xf numFmtId="170" fontId="11" fillId="0" borderId="6"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ADYEN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574750830564787E-2"/>
          <c:y val="0.11602246293119681"/>
          <c:w val="0.85928239202657819"/>
          <c:h val="0.744971378332337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1'!$B$3:$J$3</c:f>
              <c:numCache>
                <c:formatCode>#,###,,;\(#,###,,\);\ \-\ \-</c:formatCode>
                <c:ptCount val="9"/>
                <c:pt idx="0">
                  <c:v>153675000</c:v>
                </c:pt>
                <c:pt idx="1">
                  <c:v>331101000</c:v>
                </c:pt>
                <c:pt idx="2">
                  <c:v>659361000</c:v>
                </c:pt>
                <c:pt idx="3">
                  <c:v>1012440000</c:v>
                </c:pt>
                <c:pt idx="4">
                  <c:v>1652948000</c:v>
                </c:pt>
                <c:pt idx="5">
                  <c:v>2656774000</c:v>
                </c:pt>
                <c:pt idx="6">
                  <c:v>3641389000</c:v>
                </c:pt>
                <c:pt idx="7">
                  <c:v>5995419000</c:v>
                </c:pt>
                <c:pt idx="8">
                  <c:v>8935661000</c:v>
                </c:pt>
              </c:numCache>
            </c:numRef>
          </c:val>
          <c:extLst>
            <c:ext xmlns:c16="http://schemas.microsoft.com/office/drawing/2014/chart" uri="{C3380CC4-5D6E-409C-BE32-E72D297353CC}">
              <c16:uniqueId val="{00000000-61D0-304E-8D5A-7F1748D0159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1'!$B$19:$J$19</c:f>
              <c:numCache>
                <c:formatCode>#,###,,;\(#,###,,\);\ \-\ \-</c:formatCode>
                <c:ptCount val="9"/>
                <c:pt idx="0">
                  <c:v>15022000</c:v>
                </c:pt>
                <c:pt idx="1">
                  <c:v>43268000</c:v>
                </c:pt>
                <c:pt idx="2">
                  <c:v>123881000</c:v>
                </c:pt>
                <c:pt idx="3">
                  <c:v>98935000</c:v>
                </c:pt>
                <c:pt idx="4">
                  <c:v>174962000</c:v>
                </c:pt>
                <c:pt idx="5">
                  <c:v>284217000</c:v>
                </c:pt>
                <c:pt idx="6">
                  <c:v>361153000</c:v>
                </c:pt>
                <c:pt idx="7">
                  <c:v>628646000</c:v>
                </c:pt>
                <c:pt idx="8">
                  <c:v>693000000</c:v>
                </c:pt>
              </c:numCache>
            </c:numRef>
          </c:val>
          <c:extLst>
            <c:ext xmlns:c16="http://schemas.microsoft.com/office/drawing/2014/chart" uri="{C3380CC4-5D6E-409C-BE32-E72D297353CC}">
              <c16:uniqueId val="{00000001-61D0-304E-8D5A-7F1748D01593}"/>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1'!$B$106:$J$106</c:f>
              <c:numCache>
                <c:formatCode>#,###,,;\(#,###,,\);\ \-\ \-</c:formatCode>
                <c:ptCount val="9"/>
                <c:pt idx="0">
                  <c:v>141003000</c:v>
                </c:pt>
                <c:pt idx="1">
                  <c:v>131536000</c:v>
                </c:pt>
                <c:pt idx="2">
                  <c:v>177039000</c:v>
                </c:pt>
                <c:pt idx="3">
                  <c:v>189583000</c:v>
                </c:pt>
                <c:pt idx="4">
                  <c:v>370195000</c:v>
                </c:pt>
                <c:pt idx="5">
                  <c:v>509496000</c:v>
                </c:pt>
                <c:pt idx="6">
                  <c:v>994755000</c:v>
                </c:pt>
                <c:pt idx="7">
                  <c:v>1765800000</c:v>
                </c:pt>
                <c:pt idx="8">
                  <c:v>1999000000</c:v>
                </c:pt>
              </c:numCache>
            </c:numRef>
          </c:val>
          <c:extLst>
            <c:ext xmlns:c16="http://schemas.microsoft.com/office/drawing/2014/chart" uri="{C3380CC4-5D6E-409C-BE32-E72D297353CC}">
              <c16:uniqueId val="{00000002-61D0-304E-8D5A-7F1748D01593}"/>
            </c:ext>
          </c:extLst>
        </c:ser>
        <c:dLbls>
          <c:showLegendKey val="0"/>
          <c:showVal val="0"/>
          <c:showCatName val="0"/>
          <c:showSerName val="0"/>
          <c:showPercent val="0"/>
          <c:showBubbleSize val="0"/>
        </c:dLbls>
        <c:gapWidth val="100"/>
        <c:overlap val="-24"/>
        <c:axId val="920810976"/>
        <c:axId val="920812976"/>
      </c:barChart>
      <c:catAx>
        <c:axId val="92081097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20812976"/>
        <c:crosses val="autoZero"/>
        <c:auto val="1"/>
        <c:lblAlgn val="ctr"/>
        <c:lblOffset val="100"/>
        <c:noMultiLvlLbl val="0"/>
      </c:catAx>
      <c:valAx>
        <c:axId val="92081297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20810976"/>
        <c:crosses val="autoZero"/>
        <c:crossBetween val="between"/>
      </c:valAx>
      <c:spPr>
        <a:noFill/>
        <a:ln>
          <a:noFill/>
        </a:ln>
        <a:effectLst/>
      </c:spPr>
    </c:plotArea>
    <c:legend>
      <c:legendPos val="b"/>
      <c:layout>
        <c:manualLayout>
          <c:xMode val="edge"/>
          <c:yMode val="edge"/>
          <c:x val="0.36100703691108377"/>
          <c:y val="0.92586406153399092"/>
          <c:w val="0.30456399926753341"/>
          <c:h val="4.824596842943324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31750</xdr:colOff>
      <xdr:row>108</xdr:row>
      <xdr:rowOff>33338</xdr:rowOff>
    </xdr:from>
    <xdr:to>
      <xdr:col>17</xdr:col>
      <xdr:colOff>1571625</xdr:colOff>
      <xdr:row>132</xdr:row>
      <xdr:rowOff>15875</xdr:rowOff>
    </xdr:to>
    <xdr:graphicFrame macro="">
      <xdr:nvGraphicFramePr>
        <xdr:cNvPr id="2" name="Chart 1">
          <a:extLst>
            <a:ext uri="{FF2B5EF4-FFF2-40B4-BE49-F238E27FC236}">
              <a16:creationId xmlns:a16="http://schemas.microsoft.com/office/drawing/2014/main" id="{E11851DD-C07B-007E-365F-7454EB56DD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https://www.bing.com/financeapi/forcetrigger?t=b1ao52&amp;q=XAMS%3aADYEN&amp;form=skydnc</v>
    <v>Learn more on Bing</v>
  </rv>
  <rv s="1">
    <v>0</v>
    <v>Adyen NV (XAMS:ADYEN)</v>
    <v>2</v>
    <v>3</v>
    <v>Finance</v>
    <v>4</v>
    <v>en-US</v>
    <v>b1ao52</v>
    <v>268435456</v>
    <v>1</v>
    <v>Powered by Refinitiv</v>
    <v>1893</v>
    <v>1148</v>
    <v>1.3301000000000001</v>
    <v>6.6</v>
    <v>4.4340000000000004E-3</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3332</v>
    <v>Euronext Amsterdam</v>
    <v>XAMS</v>
    <v>XAMS</v>
    <v>Simon Carmiggeltstraat 6-50, AMSTERDAM, NOORD-HOLLAND, 1011 DJ NL</v>
    <v>1502.2</v>
    <v>Financial Technology (Fintech) &amp; Infrastructure</v>
    <v>Stock</v>
    <v>45072.390277777777</v>
    <v>0</v>
    <v>1482</v>
    <v>46141940000</v>
    <v>Adyen NV</v>
    <v>Adyen NV</v>
    <v>1496.6</v>
    <v>81.725899999999996</v>
    <v>1488.4</v>
    <v>1495</v>
    <v>31001030</v>
    <v>ADYEN</v>
    <v>Adyen NV (XAMS:ADYEN)</v>
    <v>10435</v>
    <v>57200</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adyen.getbynder.com/m/62ef2a84c324451f/original/2022-Annual-Report-Consolidated-Financial-Statements.pdf" TargetMode="External"/><Relationship Id="rId3" Type="http://schemas.openxmlformats.org/officeDocument/2006/relationships/hyperlink" Target="https://sec.gov/" TargetMode="External"/><Relationship Id="rId21" Type="http://schemas.openxmlformats.org/officeDocument/2006/relationships/drawing" Target="../drawings/drawing1.xm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finbox.com/ENXTAM:ADYEN/explorer/total_rev" TargetMode="External"/><Relationship Id="rId1" Type="http://schemas.openxmlformats.org/officeDocument/2006/relationships/hyperlink" Target="https://roic.ai/company/ADYEN.AS"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adyen.getbynder.com/m/62ef2a84c324451f/original/2022-Annual-Report-Consolidated-Financial-Statements.pdf"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G14" activePane="bottomRight" state="frozen"/>
      <selection pane="topRight"/>
      <selection pane="bottomLeft"/>
      <selection pane="bottomRight" activeCell="M26" sqref="M26"/>
    </sheetView>
  </sheetViews>
  <sheetFormatPr baseColWidth="10" defaultRowHeight="16" x14ac:dyDescent="0.2"/>
  <cols>
    <col min="1" max="1" width="50" customWidth="1"/>
    <col min="2" max="10" width="15" customWidth="1"/>
    <col min="11" max="19" width="21" customWidth="1"/>
  </cols>
  <sheetData>
    <row r="1" spans="1:38" ht="22" thickBot="1" x14ac:dyDescent="0.3">
      <c r="A1" s="3" t="e" vm="1">
        <v>#VALUE!</v>
      </c>
      <c r="B1" s="8">
        <v>2014</v>
      </c>
      <c r="C1" s="8">
        <v>2015</v>
      </c>
      <c r="D1" s="8">
        <v>2016</v>
      </c>
      <c r="E1" s="8">
        <v>2017</v>
      </c>
      <c r="F1" s="8">
        <v>2018</v>
      </c>
      <c r="G1" s="8">
        <v>2019</v>
      </c>
      <c r="H1" s="8">
        <v>2020</v>
      </c>
      <c r="I1" s="8">
        <v>2021</v>
      </c>
      <c r="J1" s="8">
        <v>2022</v>
      </c>
      <c r="K1" s="28">
        <v>2023</v>
      </c>
      <c r="L1" s="28">
        <v>2024</v>
      </c>
      <c r="M1" s="28">
        <v>2025</v>
      </c>
      <c r="N1" s="28">
        <v>2026</v>
      </c>
      <c r="O1" s="28">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c r="O2" s="9"/>
      <c r="P2" s="9"/>
      <c r="Q2" s="9"/>
      <c r="R2" s="9"/>
      <c r="S2" s="9"/>
    </row>
    <row r="3" spans="1:38" ht="40" x14ac:dyDescent="0.25">
      <c r="A3" s="5" t="s">
        <v>1</v>
      </c>
      <c r="B3" s="1">
        <v>153675000</v>
      </c>
      <c r="C3" s="1">
        <v>331101000</v>
      </c>
      <c r="D3" s="1">
        <v>659361000</v>
      </c>
      <c r="E3" s="1">
        <v>1012440000</v>
      </c>
      <c r="F3" s="1">
        <v>1652948000</v>
      </c>
      <c r="G3" s="1">
        <v>2656774000</v>
      </c>
      <c r="H3" s="1">
        <v>3641389000</v>
      </c>
      <c r="I3" s="1">
        <v>5995419000</v>
      </c>
      <c r="J3" s="1">
        <v>8935661000</v>
      </c>
      <c r="K3" s="29">
        <v>11600000000</v>
      </c>
      <c r="L3" s="29">
        <v>14500000000</v>
      </c>
      <c r="M3" s="29">
        <v>17800000000</v>
      </c>
      <c r="N3" s="29">
        <v>21000000000</v>
      </c>
      <c r="O3" s="29">
        <v>23500000000</v>
      </c>
      <c r="P3" s="19" t="s">
        <v>109</v>
      </c>
      <c r="Q3" s="20" t="s">
        <v>110</v>
      </c>
      <c r="R3" s="20" t="s">
        <v>111</v>
      </c>
      <c r="S3" s="20" t="s">
        <v>112</v>
      </c>
    </row>
    <row r="4" spans="1:38" ht="19" x14ac:dyDescent="0.25">
      <c r="A4" s="14" t="s">
        <v>94</v>
      </c>
      <c r="B4" s="1"/>
      <c r="C4" s="15">
        <f>(C3/B3)-1</f>
        <v>1.1545534407027818</v>
      </c>
      <c r="D4" s="15">
        <f>(D3/C3)-1</f>
        <v>0.991419536636857</v>
      </c>
      <c r="E4" s="15">
        <f>(E3/D3)-1</f>
        <v>0.53548663023745724</v>
      </c>
      <c r="F4" s="15">
        <f t="shared" ref="F4:O4" si="0">(F3/E3)-1</f>
        <v>0.6326379834854412</v>
      </c>
      <c r="G4" s="16">
        <f t="shared" si="0"/>
        <v>0.60729436134712045</v>
      </c>
      <c r="H4" s="16">
        <f t="shared" si="0"/>
        <v>0.37060547867451277</v>
      </c>
      <c r="I4" s="16">
        <f t="shared" si="0"/>
        <v>0.64646485173652146</v>
      </c>
      <c r="J4" s="16">
        <f t="shared" si="0"/>
        <v>0.49041476500641568</v>
      </c>
      <c r="K4" s="16">
        <f t="shared" si="0"/>
        <v>0.29816921210417457</v>
      </c>
      <c r="L4" s="16">
        <f t="shared" si="0"/>
        <v>0.25</v>
      </c>
      <c r="M4" s="16">
        <f t="shared" si="0"/>
        <v>0.22758620689655173</v>
      </c>
      <c r="N4" s="16">
        <f t="shared" si="0"/>
        <v>0.1797752808988764</v>
      </c>
      <c r="O4" s="16">
        <f t="shared" si="0"/>
        <v>0.11904761904761907</v>
      </c>
      <c r="P4" s="17">
        <f>(J4+I4+H4)/3</f>
        <v>0.50249503180581667</v>
      </c>
      <c r="Q4" s="17">
        <f>(J20+I20+H20)/3</f>
        <v>0.37124257432747187</v>
      </c>
      <c r="R4" s="17">
        <f>(J29+I29+H29)/3</f>
        <v>0.42661007980416271</v>
      </c>
      <c r="S4" s="17">
        <f>(J105+I105+H105)/3</f>
        <v>0.61986823351112186</v>
      </c>
      <c r="AB4" s="16"/>
      <c r="AC4" s="16"/>
      <c r="AD4" s="16"/>
      <c r="AE4" s="16"/>
      <c r="AF4" s="16"/>
      <c r="AI4" s="18"/>
      <c r="AJ4" s="18"/>
      <c r="AK4" s="18"/>
      <c r="AL4" s="18"/>
    </row>
    <row r="5" spans="1:38" ht="19" x14ac:dyDescent="0.25">
      <c r="A5" s="5" t="s">
        <v>2</v>
      </c>
      <c r="B5" s="1">
        <v>106899000</v>
      </c>
      <c r="C5" s="1">
        <v>232651000</v>
      </c>
      <c r="D5" s="1">
        <v>501376000</v>
      </c>
      <c r="E5" s="1">
        <v>794162000</v>
      </c>
      <c r="F5" s="1">
        <v>1304035000</v>
      </c>
      <c r="G5" s="1">
        <v>2160093000</v>
      </c>
      <c r="H5" s="1">
        <v>2957189000</v>
      </c>
      <c r="I5" s="1">
        <v>4993902000</v>
      </c>
      <c r="J5" s="1">
        <v>7605445000</v>
      </c>
    </row>
    <row r="6" spans="1:38" ht="20" x14ac:dyDescent="0.25">
      <c r="A6" s="6" t="s">
        <v>3</v>
      </c>
      <c r="B6" s="10">
        <v>46776000</v>
      </c>
      <c r="C6" s="10">
        <v>98450000</v>
      </c>
      <c r="D6" s="10">
        <v>157985000</v>
      </c>
      <c r="E6" s="10">
        <v>218278000</v>
      </c>
      <c r="F6" s="10">
        <v>348913000</v>
      </c>
      <c r="G6" s="10">
        <v>496681000</v>
      </c>
      <c r="H6" s="10">
        <v>684200000</v>
      </c>
      <c r="I6" s="10">
        <v>1001517000</v>
      </c>
      <c r="J6" s="10">
        <f>J3-J5</f>
        <v>1330216000</v>
      </c>
      <c r="P6" s="19" t="s">
        <v>113</v>
      </c>
      <c r="Q6" s="20" t="s">
        <v>114</v>
      </c>
      <c r="R6" s="20" t="s">
        <v>115</v>
      </c>
      <c r="S6" s="20" t="s">
        <v>116</v>
      </c>
    </row>
    <row r="7" spans="1:38" ht="19" x14ac:dyDescent="0.25">
      <c r="A7" s="5" t="s">
        <v>4</v>
      </c>
      <c r="B7" s="2">
        <v>0.3044</v>
      </c>
      <c r="C7" s="2">
        <v>0.29730000000000001</v>
      </c>
      <c r="D7" s="2">
        <v>0.23960000000000001</v>
      </c>
      <c r="E7" s="2">
        <v>0.21560000000000001</v>
      </c>
      <c r="F7" s="2">
        <v>0.21110000000000001</v>
      </c>
      <c r="G7" s="2">
        <v>0.18690000000000001</v>
      </c>
      <c r="H7" s="2">
        <v>0.18790000000000001</v>
      </c>
      <c r="I7" s="2">
        <v>0.16700000000000001</v>
      </c>
      <c r="J7" s="2">
        <f>J6/J3</f>
        <v>0.14886598764210057</v>
      </c>
      <c r="P7" s="17">
        <f>J7</f>
        <v>0.14886598764210057</v>
      </c>
      <c r="Q7" s="21">
        <f>J21</f>
        <v>7.755441930932698E-2</v>
      </c>
      <c r="R7" s="21">
        <f>J30</f>
        <v>6.3133438029934222E-2</v>
      </c>
      <c r="S7" s="21">
        <f>J106/J3</f>
        <v>0.2237103668100211</v>
      </c>
    </row>
    <row r="8" spans="1:38" ht="19" x14ac:dyDescent="0.25">
      <c r="A8" s="5" t="s">
        <v>5</v>
      </c>
      <c r="B8" s="1">
        <v>0</v>
      </c>
      <c r="C8" s="1">
        <v>0</v>
      </c>
      <c r="D8" s="1">
        <v>0</v>
      </c>
      <c r="E8" s="1">
        <v>0</v>
      </c>
      <c r="F8" s="1">
        <v>0</v>
      </c>
      <c r="G8" s="1">
        <v>0</v>
      </c>
      <c r="H8" s="1">
        <v>0</v>
      </c>
      <c r="I8" s="1">
        <v>0</v>
      </c>
      <c r="J8" s="1">
        <v>0</v>
      </c>
    </row>
    <row r="9" spans="1:38" ht="19" customHeight="1" x14ac:dyDescent="0.25">
      <c r="A9" s="14" t="s">
        <v>95</v>
      </c>
      <c r="B9" s="15">
        <f>B8/B3</f>
        <v>0</v>
      </c>
      <c r="C9" s="15">
        <f t="shared" ref="C9:J9" si="1">C8/C3</f>
        <v>0</v>
      </c>
      <c r="D9" s="15">
        <f t="shared" si="1"/>
        <v>0</v>
      </c>
      <c r="E9" s="15">
        <f t="shared" si="1"/>
        <v>0</v>
      </c>
      <c r="F9" s="15">
        <f t="shared" si="1"/>
        <v>0</v>
      </c>
      <c r="G9" s="15">
        <f t="shared" si="1"/>
        <v>0</v>
      </c>
      <c r="H9" s="15">
        <f t="shared" si="1"/>
        <v>0</v>
      </c>
      <c r="I9" s="15">
        <f t="shared" si="1"/>
        <v>0</v>
      </c>
      <c r="J9" s="15">
        <f t="shared" si="1"/>
        <v>0</v>
      </c>
      <c r="K9" s="15"/>
      <c r="L9" s="15"/>
      <c r="P9" s="19" t="s">
        <v>96</v>
      </c>
      <c r="Q9" s="20" t="s">
        <v>97</v>
      </c>
      <c r="R9" s="20" t="s">
        <v>98</v>
      </c>
      <c r="S9" s="20" t="s">
        <v>99</v>
      </c>
    </row>
    <row r="10" spans="1:38" ht="19" x14ac:dyDescent="0.25">
      <c r="A10" s="5" t="s">
        <v>6</v>
      </c>
      <c r="B10" s="1">
        <v>2838000</v>
      </c>
      <c r="C10" s="1">
        <v>332000</v>
      </c>
      <c r="D10" s="1">
        <v>393000</v>
      </c>
      <c r="E10" s="1">
        <v>908000</v>
      </c>
      <c r="F10" s="1" t="s">
        <v>92</v>
      </c>
      <c r="G10" s="1" t="s">
        <v>92</v>
      </c>
      <c r="H10" s="1" t="s">
        <v>92</v>
      </c>
      <c r="I10" s="1" t="s">
        <v>92</v>
      </c>
      <c r="J10" s="1" t="s">
        <v>92</v>
      </c>
      <c r="P10" s="17">
        <f>J9</f>
        <v>0</v>
      </c>
      <c r="Q10" s="21">
        <f>J13</f>
        <v>6.2256166611513123E-3</v>
      </c>
      <c r="R10" s="21">
        <f>J80</f>
        <v>7.8337797282148464E-4</v>
      </c>
      <c r="S10" s="21">
        <f>J89</f>
        <v>1.0695907107487627E-2</v>
      </c>
    </row>
    <row r="11" spans="1:38" ht="19" x14ac:dyDescent="0.25">
      <c r="A11" s="5" t="s">
        <v>7</v>
      </c>
      <c r="B11" s="1">
        <v>2641000</v>
      </c>
      <c r="C11" s="1">
        <v>4894000</v>
      </c>
      <c r="D11" s="1">
        <v>7658000</v>
      </c>
      <c r="E11" s="1">
        <v>14753000</v>
      </c>
      <c r="F11" s="1">
        <v>21320000</v>
      </c>
      <c r="G11" s="1">
        <v>32276000</v>
      </c>
      <c r="H11" s="1">
        <v>39612000</v>
      </c>
      <c r="I11" s="1">
        <v>36384000</v>
      </c>
      <c r="J11" s="1">
        <v>55630000</v>
      </c>
    </row>
    <row r="12" spans="1:38" ht="20" x14ac:dyDescent="0.25">
      <c r="A12" s="5" t="s">
        <v>8</v>
      </c>
      <c r="B12" s="1">
        <v>5479000</v>
      </c>
      <c r="C12" s="1">
        <v>5226000</v>
      </c>
      <c r="D12" s="1">
        <v>8051000</v>
      </c>
      <c r="E12" s="1">
        <v>15661000</v>
      </c>
      <c r="F12" s="1">
        <v>21320000</v>
      </c>
      <c r="G12" s="1">
        <v>32276000</v>
      </c>
      <c r="H12" s="1">
        <v>39612000</v>
      </c>
      <c r="I12" s="1">
        <v>36384000</v>
      </c>
      <c r="J12" s="1">
        <v>55630000</v>
      </c>
      <c r="P12" s="19" t="s">
        <v>117</v>
      </c>
      <c r="Q12" s="20" t="s">
        <v>118</v>
      </c>
      <c r="R12" s="20" t="s">
        <v>119</v>
      </c>
      <c r="S12" s="20" t="s">
        <v>120</v>
      </c>
    </row>
    <row r="13" spans="1:38" ht="19" x14ac:dyDescent="0.25">
      <c r="A13" s="14" t="s">
        <v>100</v>
      </c>
      <c r="B13" s="15">
        <f>B12/B3</f>
        <v>3.5653164145111438E-2</v>
      </c>
      <c r="C13" s="15">
        <f t="shared" ref="C13:J13" si="2">C12/C3</f>
        <v>1.5783703462085588E-2</v>
      </c>
      <c r="D13" s="15">
        <f t="shared" si="2"/>
        <v>1.2210306645373323E-2</v>
      </c>
      <c r="E13" s="15">
        <f t="shared" si="2"/>
        <v>1.5468570977045553E-2</v>
      </c>
      <c r="F13" s="15">
        <f t="shared" si="2"/>
        <v>1.2898167395465556E-2</v>
      </c>
      <c r="G13" s="15">
        <f t="shared" si="2"/>
        <v>1.2148568150697049E-2</v>
      </c>
      <c r="H13" s="15">
        <f t="shared" si="2"/>
        <v>1.08782665076431E-2</v>
      </c>
      <c r="I13" s="15">
        <f t="shared" si="2"/>
        <v>6.0686334016021234E-3</v>
      </c>
      <c r="J13" s="15">
        <f t="shared" si="2"/>
        <v>6.2256166611513123E-3</v>
      </c>
      <c r="K13" s="15"/>
      <c r="L13" s="15"/>
      <c r="P13" s="17">
        <f>J28/J72</f>
        <v>0.2338770325498172</v>
      </c>
      <c r="Q13" s="21">
        <f>J28/J54</f>
        <v>7.9479626881558185E-2</v>
      </c>
      <c r="R13" s="21">
        <f>J22/(J72+J56+J61)</f>
        <v>0.25415925643671916</v>
      </c>
      <c r="S13" s="22">
        <f>J67/J72</f>
        <v>1.9426035542208133</v>
      </c>
    </row>
    <row r="14" spans="1:38" ht="19" x14ac:dyDescent="0.25">
      <c r="A14" s="5" t="s">
        <v>9</v>
      </c>
      <c r="B14" s="1">
        <v>27663000</v>
      </c>
      <c r="C14" s="1">
        <v>52378000</v>
      </c>
      <c r="D14" s="1">
        <v>86995000</v>
      </c>
      <c r="E14" s="1">
        <v>109223000</v>
      </c>
      <c r="F14" s="1">
        <v>154523000</v>
      </c>
      <c r="G14" s="1">
        <v>207610000</v>
      </c>
      <c r="H14" s="1">
        <v>270858000</v>
      </c>
      <c r="I14" s="1">
        <v>370402000</v>
      </c>
      <c r="J14" s="1"/>
    </row>
    <row r="15" spans="1:38" ht="20" x14ac:dyDescent="0.25">
      <c r="A15" s="5" t="s">
        <v>10</v>
      </c>
      <c r="B15" s="1">
        <v>33142000</v>
      </c>
      <c r="C15" s="1">
        <v>57604000</v>
      </c>
      <c r="D15" s="1">
        <v>95046000</v>
      </c>
      <c r="E15" s="1">
        <v>124884000</v>
      </c>
      <c r="F15" s="1">
        <v>175843000</v>
      </c>
      <c r="G15" s="1">
        <v>239886000</v>
      </c>
      <c r="H15" s="1">
        <v>310470000</v>
      </c>
      <c r="I15" s="1">
        <v>406786000</v>
      </c>
      <c r="J15" s="1"/>
      <c r="P15" s="19" t="s">
        <v>121</v>
      </c>
      <c r="Q15" s="20" t="s">
        <v>122</v>
      </c>
      <c r="R15" s="20" t="s">
        <v>123</v>
      </c>
      <c r="S15" s="20" t="s">
        <v>124</v>
      </c>
    </row>
    <row r="16" spans="1:38" ht="19" x14ac:dyDescent="0.25">
      <c r="A16" s="5" t="s">
        <v>11</v>
      </c>
      <c r="B16" s="1">
        <v>140041000</v>
      </c>
      <c r="C16" s="1">
        <v>290255000</v>
      </c>
      <c r="D16" s="1">
        <v>596422000</v>
      </c>
      <c r="E16" s="1">
        <v>919046000</v>
      </c>
      <c r="F16" s="1">
        <v>1479878000</v>
      </c>
      <c r="G16" s="1">
        <v>2399979000</v>
      </c>
      <c r="H16" s="1">
        <v>3267659000</v>
      </c>
      <c r="I16" s="1">
        <v>5400688000</v>
      </c>
      <c r="J16" s="1"/>
      <c r="P16" s="30">
        <f>(J35+I35+H35+G35+F35)/5</f>
        <v>2.567905561326001E-3</v>
      </c>
      <c r="Q16" s="69">
        <f>R101/J3</f>
        <v>5.1637970598929392</v>
      </c>
      <c r="R16" s="69">
        <f>R101/J28</f>
        <v>81.79179244831505</v>
      </c>
      <c r="S16" s="70">
        <f>R101/J106</f>
        <v>23.082511255627814</v>
      </c>
    </row>
    <row r="17" spans="1:18" ht="19" x14ac:dyDescent="0.25">
      <c r="A17" s="5" t="s">
        <v>12</v>
      </c>
      <c r="B17" s="1">
        <v>1000</v>
      </c>
      <c r="C17" s="1">
        <v>8000</v>
      </c>
      <c r="D17" s="1">
        <v>236000</v>
      </c>
      <c r="E17" s="1">
        <v>775000</v>
      </c>
      <c r="F17" s="1">
        <v>1516000</v>
      </c>
      <c r="G17" s="1">
        <v>4633000</v>
      </c>
      <c r="H17" s="1">
        <v>9406000</v>
      </c>
      <c r="I17" s="1">
        <v>12788000</v>
      </c>
      <c r="J17" s="1">
        <v>11963000</v>
      </c>
    </row>
    <row r="18" spans="1:18" ht="20" x14ac:dyDescent="0.25">
      <c r="A18" s="5" t="s">
        <v>13</v>
      </c>
      <c r="B18" s="1">
        <v>1056000</v>
      </c>
      <c r="C18" s="1">
        <v>2218000</v>
      </c>
      <c r="D18" s="1">
        <v>4136000</v>
      </c>
      <c r="E18" s="1">
        <v>5936000</v>
      </c>
      <c r="F18" s="1">
        <v>8736000</v>
      </c>
      <c r="G18" s="1">
        <v>22326000</v>
      </c>
      <c r="H18" s="1">
        <v>28567000</v>
      </c>
      <c r="I18" s="1">
        <v>35011000</v>
      </c>
      <c r="J18" s="1">
        <v>63613000</v>
      </c>
      <c r="P18" s="19" t="s">
        <v>125</v>
      </c>
      <c r="Q18" s="20" t="s">
        <v>160</v>
      </c>
      <c r="R18" s="20" t="s">
        <v>161</v>
      </c>
    </row>
    <row r="19" spans="1:18" ht="19" x14ac:dyDescent="0.25">
      <c r="A19" s="6" t="s">
        <v>14</v>
      </c>
      <c r="B19" s="10">
        <v>15022000</v>
      </c>
      <c r="C19" s="10">
        <v>43268000</v>
      </c>
      <c r="D19" s="10">
        <v>123881000</v>
      </c>
      <c r="E19" s="10">
        <v>98935000</v>
      </c>
      <c r="F19" s="10">
        <v>174962000</v>
      </c>
      <c r="G19" s="10">
        <v>284217000</v>
      </c>
      <c r="H19" s="10">
        <v>361153000</v>
      </c>
      <c r="I19" s="10">
        <v>628646000</v>
      </c>
      <c r="J19" s="10">
        <v>693000000</v>
      </c>
      <c r="K19" s="58">
        <v>835400000</v>
      </c>
      <c r="L19" s="58">
        <v>1174000000</v>
      </c>
      <c r="M19" s="58">
        <v>1608000000</v>
      </c>
      <c r="N19" s="58">
        <v>2122000000</v>
      </c>
      <c r="O19" s="58">
        <v>2615000000</v>
      </c>
      <c r="P19" s="31">
        <f>J40-J56-J61</f>
        <v>5761725000</v>
      </c>
      <c r="Q19" s="69">
        <f>R101/K3</f>
        <v>3.9777534482758621</v>
      </c>
      <c r="R19" s="71">
        <f>R101/K28</f>
        <v>66.55407471513054</v>
      </c>
    </row>
    <row r="20" spans="1:18" ht="19" customHeight="1" x14ac:dyDescent="0.25">
      <c r="A20" s="14" t="s">
        <v>101</v>
      </c>
      <c r="B20" s="1"/>
      <c r="C20" s="15">
        <f>(C19/B19)-1</f>
        <v>1.8803088803088803</v>
      </c>
      <c r="D20" s="15">
        <f>(D19/C19)-1</f>
        <v>1.8631089951003053</v>
      </c>
      <c r="E20" s="15">
        <f>(E19/D19)-1</f>
        <v>-0.20137067023998834</v>
      </c>
      <c r="F20" s="15">
        <f t="shared" ref="F20:J20" si="3">(F19/E19)-1</f>
        <v>0.76845403547783908</v>
      </c>
      <c r="G20" s="15">
        <f t="shared" si="3"/>
        <v>0.62444988054548989</v>
      </c>
      <c r="H20" s="15">
        <f t="shared" si="3"/>
        <v>0.27069457491986748</v>
      </c>
      <c r="I20" s="15">
        <f t="shared" si="3"/>
        <v>0.74066392913806611</v>
      </c>
      <c r="J20" s="15">
        <f t="shared" si="3"/>
        <v>0.10236921892448203</v>
      </c>
      <c r="K20" s="16">
        <f t="shared" ref="K20" si="4">(K19/J19)-1</f>
        <v>0.20548340548340538</v>
      </c>
      <c r="L20" s="16">
        <f t="shared" ref="L20" si="5">(L19/K19)-1</f>
        <v>0.40531481924826429</v>
      </c>
      <c r="M20" s="16">
        <f t="shared" ref="M20" si="6">(M19/L19)-1</f>
        <v>0.36967632027257236</v>
      </c>
      <c r="N20" s="16">
        <f t="shared" ref="N20" si="7">(N19/M19)-1</f>
        <v>0.31965174129353224</v>
      </c>
      <c r="O20" s="16">
        <f t="shared" ref="O20" si="8">(O19/N19)-1</f>
        <v>0.23232799245994351</v>
      </c>
    </row>
    <row r="21" spans="1:18" ht="19" x14ac:dyDescent="0.25">
      <c r="A21" s="5" t="s">
        <v>15</v>
      </c>
      <c r="B21" s="2">
        <v>9.7799999999999998E-2</v>
      </c>
      <c r="C21" s="2">
        <v>0.13070000000000001</v>
      </c>
      <c r="D21" s="2">
        <v>0.18790000000000001</v>
      </c>
      <c r="E21" s="2">
        <v>9.7699999999999995E-2</v>
      </c>
      <c r="F21" s="2">
        <v>0.10580000000000001</v>
      </c>
      <c r="G21" s="2">
        <v>0.107</v>
      </c>
      <c r="H21" s="2">
        <v>9.9199999999999997E-2</v>
      </c>
      <c r="I21" s="2">
        <v>0.10489999999999999</v>
      </c>
      <c r="J21" s="2">
        <f>J19/J3</f>
        <v>7.755441930932698E-2</v>
      </c>
      <c r="K21" s="59">
        <f t="shared" ref="K21:O21" si="9">K19/K3</f>
        <v>7.2017241379310343E-2</v>
      </c>
      <c r="L21" s="59">
        <f t="shared" si="9"/>
        <v>8.0965517241379306E-2</v>
      </c>
      <c r="M21" s="59">
        <f t="shared" si="9"/>
        <v>9.0337078651685387E-2</v>
      </c>
      <c r="N21" s="59">
        <f t="shared" si="9"/>
        <v>0.10104761904761905</v>
      </c>
      <c r="O21" s="59">
        <f t="shared" si="9"/>
        <v>0.11127659574468085</v>
      </c>
    </row>
    <row r="22" spans="1:18" ht="19" x14ac:dyDescent="0.25">
      <c r="A22" s="6" t="s">
        <v>16</v>
      </c>
      <c r="B22" s="10">
        <v>13634000</v>
      </c>
      <c r="C22" s="10">
        <v>40846000</v>
      </c>
      <c r="D22" s="10">
        <v>62939000</v>
      </c>
      <c r="E22" s="10">
        <v>93394000</v>
      </c>
      <c r="F22" s="10">
        <v>173070000</v>
      </c>
      <c r="G22" s="10">
        <v>256795000</v>
      </c>
      <c r="H22" s="10">
        <v>373730000</v>
      </c>
      <c r="I22" s="10">
        <v>594731000</v>
      </c>
      <c r="J22" s="10">
        <v>664675000</v>
      </c>
    </row>
    <row r="23" spans="1:18" ht="19" x14ac:dyDescent="0.25">
      <c r="A23" s="5" t="s">
        <v>17</v>
      </c>
      <c r="B23" s="2">
        <v>8.8700000000000001E-2</v>
      </c>
      <c r="C23" s="2">
        <v>0.1234</v>
      </c>
      <c r="D23" s="2">
        <v>9.5500000000000002E-2</v>
      </c>
      <c r="E23" s="2">
        <v>9.2200000000000004E-2</v>
      </c>
      <c r="F23" s="2">
        <v>0.1047</v>
      </c>
      <c r="G23" s="2">
        <v>9.6699999999999994E-2</v>
      </c>
      <c r="H23" s="2">
        <v>0.1026</v>
      </c>
      <c r="I23" s="2">
        <v>9.9199999999999997E-2</v>
      </c>
      <c r="J23" s="2">
        <f>J22/J3</f>
        <v>7.4384536297874324E-2</v>
      </c>
    </row>
    <row r="24" spans="1:18" ht="19" x14ac:dyDescent="0.25">
      <c r="A24" s="5" t="s">
        <v>18</v>
      </c>
      <c r="B24" s="1">
        <v>331000</v>
      </c>
      <c r="C24" s="1">
        <v>196000</v>
      </c>
      <c r="D24" s="1">
        <v>56570000</v>
      </c>
      <c r="E24" s="1">
        <v>-1170000</v>
      </c>
      <c r="F24" s="1">
        <v>-8360000</v>
      </c>
      <c r="G24" s="1">
        <v>463000</v>
      </c>
      <c r="H24" s="1">
        <v>-50550000</v>
      </c>
      <c r="I24" s="1">
        <v>-13884000</v>
      </c>
      <c r="J24" s="1">
        <v>-11251000</v>
      </c>
    </row>
    <row r="25" spans="1:18" ht="19" x14ac:dyDescent="0.25">
      <c r="A25" s="6" t="s">
        <v>19</v>
      </c>
      <c r="B25" s="10">
        <v>13965000</v>
      </c>
      <c r="C25" s="10">
        <v>41042000</v>
      </c>
      <c r="D25" s="10">
        <v>119509000</v>
      </c>
      <c r="E25" s="10">
        <v>92224000</v>
      </c>
      <c r="F25" s="10">
        <v>164710000</v>
      </c>
      <c r="G25" s="10">
        <v>257258000</v>
      </c>
      <c r="H25" s="10">
        <v>323180000</v>
      </c>
      <c r="I25" s="10">
        <v>580847000</v>
      </c>
      <c r="J25" s="10">
        <f>J22+J24</f>
        <v>653424000</v>
      </c>
    </row>
    <row r="26" spans="1:18" ht="19" x14ac:dyDescent="0.25">
      <c r="A26" s="5" t="s">
        <v>20</v>
      </c>
      <c r="B26" s="2">
        <v>9.0899999999999995E-2</v>
      </c>
      <c r="C26" s="2">
        <v>0.124</v>
      </c>
      <c r="D26" s="2">
        <v>0.1812</v>
      </c>
      <c r="E26" s="2">
        <v>9.11E-2</v>
      </c>
      <c r="F26" s="2">
        <v>9.9599999999999994E-2</v>
      </c>
      <c r="G26" s="2">
        <v>9.6799999999999997E-2</v>
      </c>
      <c r="H26" s="2">
        <v>8.8800000000000004E-2</v>
      </c>
      <c r="I26" s="2">
        <v>9.69E-2</v>
      </c>
      <c r="J26" s="2">
        <f>J25/J3</f>
        <v>7.3125424073272258E-2</v>
      </c>
    </row>
    <row r="27" spans="1:18" ht="19" x14ac:dyDescent="0.25">
      <c r="A27" s="5" t="s">
        <v>21</v>
      </c>
      <c r="B27" s="1">
        <v>3101000</v>
      </c>
      <c r="C27" s="1">
        <v>7434000</v>
      </c>
      <c r="D27" s="1">
        <v>22279000</v>
      </c>
      <c r="E27" s="1">
        <v>20917000</v>
      </c>
      <c r="F27" s="1">
        <v>33564000</v>
      </c>
      <c r="G27" s="1">
        <v>53219000</v>
      </c>
      <c r="H27" s="1">
        <v>62161000</v>
      </c>
      <c r="I27" s="1">
        <v>111130000</v>
      </c>
      <c r="J27" s="1">
        <v>149690000</v>
      </c>
    </row>
    <row r="28" spans="1:18" ht="20" thickBot="1" x14ac:dyDescent="0.3">
      <c r="A28" s="7" t="s">
        <v>22</v>
      </c>
      <c r="B28" s="11">
        <v>10864000</v>
      </c>
      <c r="C28" s="11">
        <v>33608000</v>
      </c>
      <c r="D28" s="11">
        <v>97230000</v>
      </c>
      <c r="E28" s="11">
        <v>71307000</v>
      </c>
      <c r="F28" s="11">
        <v>131146000</v>
      </c>
      <c r="G28" s="11">
        <v>204039000</v>
      </c>
      <c r="H28" s="11">
        <v>261019000</v>
      </c>
      <c r="I28" s="11">
        <v>469717000</v>
      </c>
      <c r="J28" s="11">
        <v>564139000</v>
      </c>
      <c r="K28" s="67">
        <v>693300000</v>
      </c>
      <c r="L28" s="67">
        <v>952500000</v>
      </c>
      <c r="M28" s="67">
        <v>1321000000</v>
      </c>
      <c r="N28" s="67">
        <v>1691000000</v>
      </c>
      <c r="O28" s="67">
        <v>1916000000</v>
      </c>
    </row>
    <row r="29" spans="1:18" ht="20" customHeight="1" thickTop="1" x14ac:dyDescent="0.25">
      <c r="A29" s="14" t="s">
        <v>102</v>
      </c>
      <c r="B29" s="1"/>
      <c r="C29" s="15">
        <f>(C28/B28)-1</f>
        <v>2.0935198821796761</v>
      </c>
      <c r="D29" s="15">
        <f>(D28/C28)-1</f>
        <v>1.8930611759104976</v>
      </c>
      <c r="E29" s="15">
        <f>(E28/D28)-1</f>
        <v>-0.26661524220919475</v>
      </c>
      <c r="F29" s="15">
        <f t="shared" ref="F29:J29" si="10">(F28/E28)-1</f>
        <v>0.8391742746153954</v>
      </c>
      <c r="G29" s="15">
        <f t="shared" si="10"/>
        <v>0.55581565583395598</v>
      </c>
      <c r="H29" s="15">
        <f t="shared" si="10"/>
        <v>0.27926033748450041</v>
      </c>
      <c r="I29" s="15">
        <f t="shared" si="10"/>
        <v>0.79955099054091838</v>
      </c>
      <c r="J29" s="15">
        <f t="shared" si="10"/>
        <v>0.20101891138706929</v>
      </c>
      <c r="K29" s="16">
        <f t="shared" ref="K29" si="11">(K28/J28)-1</f>
        <v>0.22895243902655205</v>
      </c>
      <c r="L29" s="16">
        <f t="shared" ref="L29" si="12">(L28/K28)-1</f>
        <v>0.373864128083081</v>
      </c>
      <c r="M29" s="16">
        <f t="shared" ref="M29" si="13">(M28/L28)-1</f>
        <v>0.38687664041994752</v>
      </c>
      <c r="N29" s="16">
        <f t="shared" ref="N29" si="14">(N28/M28)-1</f>
        <v>0.28009084027252085</v>
      </c>
      <c r="O29" s="16">
        <f t="shared" ref="O29" si="15">(O28/N28)-1</f>
        <v>0.13305736250739209</v>
      </c>
    </row>
    <row r="30" spans="1:18" ht="19" x14ac:dyDescent="0.25">
      <c r="A30" s="5" t="s">
        <v>23</v>
      </c>
      <c r="B30" s="2">
        <v>7.0699999999999999E-2</v>
      </c>
      <c r="C30" s="2">
        <v>0.10150000000000001</v>
      </c>
      <c r="D30" s="2">
        <v>0.14749999999999999</v>
      </c>
      <c r="E30" s="2">
        <v>7.0400000000000004E-2</v>
      </c>
      <c r="F30" s="2">
        <v>7.9299999999999995E-2</v>
      </c>
      <c r="G30" s="2">
        <v>7.6799999999999993E-2</v>
      </c>
      <c r="H30" s="2">
        <v>7.17E-2</v>
      </c>
      <c r="I30" s="2">
        <v>7.8299999999999995E-2</v>
      </c>
      <c r="J30" s="2">
        <f>J28/J3</f>
        <v>6.3133438029934222E-2</v>
      </c>
      <c r="K30" s="68">
        <f t="shared" ref="K30:O30" si="16">K28/K3</f>
        <v>5.9767241379310346E-2</v>
      </c>
      <c r="L30" s="68">
        <f t="shared" si="16"/>
        <v>6.5689655172413791E-2</v>
      </c>
      <c r="M30" s="68">
        <f t="shared" si="16"/>
        <v>7.4213483146067419E-2</v>
      </c>
      <c r="N30" s="68">
        <f t="shared" si="16"/>
        <v>8.0523809523809525E-2</v>
      </c>
      <c r="O30" s="68">
        <f t="shared" si="16"/>
        <v>8.1531914893617025E-2</v>
      </c>
    </row>
    <row r="31" spans="1:18" ht="19" x14ac:dyDescent="0.25">
      <c r="A31" s="5" t="s">
        <v>24</v>
      </c>
      <c r="B31" s="12">
        <v>0.37</v>
      </c>
      <c r="C31" s="12">
        <v>1.1399999999999999</v>
      </c>
      <c r="D31" s="12">
        <v>3.29</v>
      </c>
      <c r="E31" s="12">
        <v>2.41</v>
      </c>
      <c r="F31" s="12">
        <v>4.45</v>
      </c>
      <c r="G31" s="12">
        <v>6.86</v>
      </c>
      <c r="H31" s="12">
        <v>8.6300000000000008</v>
      </c>
      <c r="I31" s="12">
        <v>15.53</v>
      </c>
      <c r="J31" s="12">
        <v>18.21</v>
      </c>
      <c r="K31" s="60">
        <v>22.37</v>
      </c>
      <c r="L31" s="60">
        <v>30.74</v>
      </c>
      <c r="M31" s="60">
        <v>42.62</v>
      </c>
      <c r="N31" s="60">
        <v>54.58</v>
      </c>
      <c r="O31" s="60">
        <v>61.83</v>
      </c>
    </row>
    <row r="32" spans="1:18" ht="19" x14ac:dyDescent="0.25">
      <c r="A32" s="5" t="s">
        <v>25</v>
      </c>
      <c r="B32" s="12">
        <v>0.35</v>
      </c>
      <c r="C32" s="12">
        <v>1.1000000000000001</v>
      </c>
      <c r="D32" s="12">
        <v>3.17</v>
      </c>
      <c r="E32" s="12">
        <v>2.33</v>
      </c>
      <c r="F32" s="12">
        <v>4.29</v>
      </c>
      <c r="G32" s="12">
        <v>6.68</v>
      </c>
      <c r="H32" s="12">
        <v>8.51</v>
      </c>
      <c r="I32" s="12">
        <v>15.32</v>
      </c>
      <c r="J32" s="12">
        <v>18.170000000000002</v>
      </c>
    </row>
    <row r="33" spans="1:10" ht="19" x14ac:dyDescent="0.25">
      <c r="A33" s="5" t="s">
        <v>26</v>
      </c>
      <c r="B33" s="1">
        <v>29596056</v>
      </c>
      <c r="C33" s="1">
        <v>29596056</v>
      </c>
      <c r="D33" s="1">
        <v>29596056</v>
      </c>
      <c r="E33" s="1">
        <v>29596056</v>
      </c>
      <c r="F33" s="1">
        <v>29486625</v>
      </c>
      <c r="G33" s="1">
        <v>29732937</v>
      </c>
      <c r="H33" s="1">
        <v>30246923</v>
      </c>
      <c r="I33" s="1">
        <v>30246923</v>
      </c>
      <c r="J33" s="1">
        <v>30975325</v>
      </c>
    </row>
    <row r="34" spans="1:10" ht="19" x14ac:dyDescent="0.25">
      <c r="A34" s="5" t="s">
        <v>27</v>
      </c>
      <c r="B34" s="1">
        <v>30652731</v>
      </c>
      <c r="C34" s="1">
        <v>30652731</v>
      </c>
      <c r="D34" s="1">
        <v>30652731</v>
      </c>
      <c r="E34" s="1">
        <v>30652731</v>
      </c>
      <c r="F34" s="1">
        <v>30604084</v>
      </c>
      <c r="G34" s="1">
        <v>30527630</v>
      </c>
      <c r="H34" s="1">
        <v>30667599</v>
      </c>
      <c r="I34" s="1">
        <v>30667599</v>
      </c>
      <c r="J34" s="1">
        <v>31046029</v>
      </c>
    </row>
    <row r="35" spans="1:10" ht="20" customHeight="1" x14ac:dyDescent="0.25">
      <c r="A35" s="14" t="s">
        <v>103</v>
      </c>
      <c r="B35" s="1"/>
      <c r="C35" s="23">
        <f>(C34-B34)/B34</f>
        <v>0</v>
      </c>
      <c r="D35" s="23">
        <f t="shared" ref="D35:J35" si="17">(D34-C34)/C34</f>
        <v>0</v>
      </c>
      <c r="E35" s="23">
        <f t="shared" si="17"/>
        <v>0</v>
      </c>
      <c r="F35" s="23">
        <f t="shared" si="17"/>
        <v>-1.5870364046844635E-3</v>
      </c>
      <c r="G35" s="23">
        <f t="shared" si="17"/>
        <v>-2.4981633170265772E-3</v>
      </c>
      <c r="H35" s="23">
        <f t="shared" si="17"/>
        <v>4.5849939874140246E-3</v>
      </c>
      <c r="I35" s="23">
        <f t="shared" si="17"/>
        <v>0</v>
      </c>
      <c r="J35" s="23">
        <f t="shared" si="17"/>
        <v>1.2339733540927022E-2</v>
      </c>
    </row>
    <row r="36" spans="1:10" ht="19" x14ac:dyDescent="0.25">
      <c r="A36" s="5" t="s">
        <v>28</v>
      </c>
      <c r="B36" s="13" t="s">
        <v>93</v>
      </c>
      <c r="C36" s="13" t="s">
        <v>93</v>
      </c>
      <c r="D36" s="13" t="s">
        <v>93</v>
      </c>
      <c r="E36" s="13" t="s">
        <v>93</v>
      </c>
      <c r="F36" s="13" t="s">
        <v>93</v>
      </c>
      <c r="G36" s="13" t="s">
        <v>93</v>
      </c>
      <c r="H36" s="13" t="s">
        <v>93</v>
      </c>
      <c r="I36" s="13" t="s">
        <v>93</v>
      </c>
      <c r="J36" s="13" t="s">
        <v>93</v>
      </c>
    </row>
    <row r="37" spans="1:10" ht="21" x14ac:dyDescent="0.25">
      <c r="A37" s="4" t="s">
        <v>29</v>
      </c>
      <c r="B37" s="9" t="s">
        <v>91</v>
      </c>
      <c r="C37" s="9" t="s">
        <v>91</v>
      </c>
      <c r="D37" s="9" t="s">
        <v>91</v>
      </c>
      <c r="E37" s="9" t="s">
        <v>91</v>
      </c>
      <c r="F37" s="9" t="s">
        <v>91</v>
      </c>
      <c r="G37" s="9" t="s">
        <v>91</v>
      </c>
      <c r="H37" s="9" t="s">
        <v>91</v>
      </c>
      <c r="I37" s="9" t="s">
        <v>91</v>
      </c>
      <c r="J37" s="9" t="s">
        <v>91</v>
      </c>
    </row>
    <row r="38" spans="1:10" ht="19" x14ac:dyDescent="0.25">
      <c r="A38" s="5" t="s">
        <v>30</v>
      </c>
      <c r="B38" s="1">
        <v>327886000</v>
      </c>
      <c r="C38" s="1">
        <v>499318000</v>
      </c>
      <c r="D38" s="1">
        <v>680067000</v>
      </c>
      <c r="E38" s="1">
        <v>567928000</v>
      </c>
      <c r="F38" s="1">
        <v>500916000</v>
      </c>
      <c r="G38" s="1">
        <v>740123000</v>
      </c>
      <c r="H38" s="1">
        <v>1258173000</v>
      </c>
      <c r="I38" s="1">
        <v>4596440000</v>
      </c>
      <c r="J38" s="1">
        <v>5964798000</v>
      </c>
    </row>
    <row r="39" spans="1:10" ht="19" x14ac:dyDescent="0.25">
      <c r="A39" s="5" t="s">
        <v>31</v>
      </c>
      <c r="B39" s="1" t="s">
        <v>92</v>
      </c>
      <c r="C39" s="1" t="s">
        <v>92</v>
      </c>
      <c r="D39" s="1" t="s">
        <v>92</v>
      </c>
      <c r="E39" s="1">
        <v>6989000</v>
      </c>
      <c r="F39" s="1">
        <v>14260000</v>
      </c>
      <c r="G39" s="1">
        <v>13031000</v>
      </c>
      <c r="H39" s="1">
        <v>12238000</v>
      </c>
      <c r="I39" s="1" t="s">
        <v>92</v>
      </c>
      <c r="J39" s="1" t="s">
        <v>92</v>
      </c>
    </row>
    <row r="40" spans="1:10" ht="19" x14ac:dyDescent="0.25">
      <c r="A40" s="5" t="s">
        <v>32</v>
      </c>
      <c r="B40" s="1">
        <v>327886000</v>
      </c>
      <c r="C40" s="1">
        <v>499318000</v>
      </c>
      <c r="D40" s="1">
        <v>680067000</v>
      </c>
      <c r="E40" s="1">
        <v>574917000</v>
      </c>
      <c r="F40" s="1">
        <v>515176000</v>
      </c>
      <c r="G40" s="1">
        <v>753154000</v>
      </c>
      <c r="H40" s="1">
        <v>1270411000</v>
      </c>
      <c r="I40" s="1">
        <v>4596440000</v>
      </c>
      <c r="J40" s="1">
        <v>5964798000</v>
      </c>
    </row>
    <row r="41" spans="1:10" ht="19" x14ac:dyDescent="0.25">
      <c r="A41" s="5" t="s">
        <v>33</v>
      </c>
      <c r="B41" s="1" t="s">
        <v>92</v>
      </c>
      <c r="C41" s="1" t="s">
        <v>92</v>
      </c>
      <c r="D41" s="1" t="s">
        <v>92</v>
      </c>
      <c r="E41" s="1" t="s">
        <v>92</v>
      </c>
      <c r="F41" s="1" t="s">
        <v>92</v>
      </c>
      <c r="G41" s="1" t="s">
        <v>92</v>
      </c>
      <c r="H41" s="1" t="s">
        <v>92</v>
      </c>
      <c r="I41" s="1" t="s">
        <v>92</v>
      </c>
      <c r="J41" s="1" t="s">
        <v>92</v>
      </c>
    </row>
    <row r="42" spans="1:10" ht="19" x14ac:dyDescent="0.25">
      <c r="A42" s="5" t="s">
        <v>34</v>
      </c>
      <c r="B42" s="1">
        <v>68000</v>
      </c>
      <c r="C42" s="1">
        <v>1462000</v>
      </c>
      <c r="D42" s="1">
        <v>3246000</v>
      </c>
      <c r="E42" s="1">
        <v>4017000</v>
      </c>
      <c r="F42" s="1">
        <v>7864000</v>
      </c>
      <c r="G42" s="1">
        <v>7020000</v>
      </c>
      <c r="H42" s="1">
        <v>19548000</v>
      </c>
      <c r="I42" s="1">
        <v>22138000</v>
      </c>
      <c r="J42" s="1">
        <v>78788000</v>
      </c>
    </row>
    <row r="43" spans="1:10" ht="19" x14ac:dyDescent="0.25">
      <c r="A43" s="5" t="s">
        <v>35</v>
      </c>
      <c r="B43" s="1">
        <v>156265000</v>
      </c>
      <c r="C43" s="1">
        <v>263075000</v>
      </c>
      <c r="D43" s="1">
        <v>648406000</v>
      </c>
      <c r="E43" s="1">
        <v>503349000</v>
      </c>
      <c r="F43" s="1">
        <v>1128930000</v>
      </c>
      <c r="G43" s="1">
        <v>1495525000</v>
      </c>
      <c r="H43" s="1">
        <v>2447125000</v>
      </c>
      <c r="I43" s="1">
        <v>716516000</v>
      </c>
      <c r="J43" s="1"/>
    </row>
    <row r="44" spans="1:10" ht="19" x14ac:dyDescent="0.25">
      <c r="A44" s="6" t="s">
        <v>36</v>
      </c>
      <c r="B44" s="10">
        <v>484219000</v>
      </c>
      <c r="C44" s="10">
        <v>763855000</v>
      </c>
      <c r="D44" s="10">
        <v>1331719000</v>
      </c>
      <c r="E44" s="10">
        <v>1082283000</v>
      </c>
      <c r="F44" s="10">
        <v>1651970000</v>
      </c>
      <c r="G44" s="10">
        <v>2255699000</v>
      </c>
      <c r="H44" s="10">
        <v>3737084000</v>
      </c>
      <c r="I44" s="10">
        <v>5335094000</v>
      </c>
      <c r="J44" s="10">
        <v>6512865000</v>
      </c>
    </row>
    <row r="45" spans="1:10" ht="19" x14ac:dyDescent="0.25">
      <c r="A45" s="5" t="s">
        <v>37</v>
      </c>
      <c r="B45" s="1">
        <v>3991000</v>
      </c>
      <c r="C45" s="1">
        <v>7692000</v>
      </c>
      <c r="D45" s="1">
        <v>15084000</v>
      </c>
      <c r="E45" s="1">
        <v>19990000</v>
      </c>
      <c r="F45" s="1">
        <v>23922000</v>
      </c>
      <c r="G45" s="1">
        <v>89914000</v>
      </c>
      <c r="H45" s="1">
        <v>160074000</v>
      </c>
      <c r="I45" s="1">
        <v>201044000</v>
      </c>
      <c r="J45" s="1">
        <v>113596000</v>
      </c>
    </row>
    <row r="46" spans="1:10" ht="19" x14ac:dyDescent="0.25">
      <c r="A46" s="5" t="s">
        <v>38</v>
      </c>
      <c r="B46" s="1" t="s">
        <v>92</v>
      </c>
      <c r="C46" s="1" t="s">
        <v>92</v>
      </c>
      <c r="D46" s="1" t="s">
        <v>92</v>
      </c>
      <c r="E46" s="1" t="s">
        <v>92</v>
      </c>
      <c r="F46" s="1" t="s">
        <v>92</v>
      </c>
      <c r="G46" s="1" t="s">
        <v>92</v>
      </c>
      <c r="H46" s="1" t="s">
        <v>92</v>
      </c>
      <c r="I46" s="1" t="s">
        <v>92</v>
      </c>
      <c r="J46" s="1" t="s">
        <v>92</v>
      </c>
    </row>
    <row r="47" spans="1:10" ht="19" x14ac:dyDescent="0.25">
      <c r="A47" s="5" t="s">
        <v>39</v>
      </c>
      <c r="B47" s="1">
        <v>2037000</v>
      </c>
      <c r="C47" s="1">
        <v>2978000</v>
      </c>
      <c r="D47" s="1">
        <v>3955000</v>
      </c>
      <c r="E47" s="1">
        <v>3977000</v>
      </c>
      <c r="F47" s="1">
        <v>5059000</v>
      </c>
      <c r="G47" s="1">
        <v>7640000</v>
      </c>
      <c r="H47" s="1">
        <v>9970000</v>
      </c>
      <c r="I47" s="1">
        <v>9841000</v>
      </c>
      <c r="J47" s="1">
        <v>8140000</v>
      </c>
    </row>
    <row r="48" spans="1:10" ht="19" x14ac:dyDescent="0.25">
      <c r="A48" s="5" t="s">
        <v>40</v>
      </c>
      <c r="B48" s="1">
        <v>2037000</v>
      </c>
      <c r="C48" s="1">
        <v>2978000</v>
      </c>
      <c r="D48" s="1">
        <v>3955000</v>
      </c>
      <c r="E48" s="1">
        <v>3977000</v>
      </c>
      <c r="F48" s="1">
        <v>5059000</v>
      </c>
      <c r="G48" s="1">
        <v>7640000</v>
      </c>
      <c r="H48" s="1">
        <v>9970000</v>
      </c>
      <c r="I48" s="1">
        <v>9841000</v>
      </c>
      <c r="J48" s="1">
        <v>8140000</v>
      </c>
    </row>
    <row r="49" spans="1:10" ht="19" x14ac:dyDescent="0.25">
      <c r="A49" s="5" t="s">
        <v>41</v>
      </c>
      <c r="B49" s="1" t="s">
        <v>92</v>
      </c>
      <c r="C49" s="1" t="s">
        <v>92</v>
      </c>
      <c r="D49" s="1" t="s">
        <v>92</v>
      </c>
      <c r="E49" s="1">
        <v>18087000</v>
      </c>
      <c r="F49" s="1">
        <v>16118000</v>
      </c>
      <c r="G49" s="1">
        <v>31057000</v>
      </c>
      <c r="H49" s="1">
        <v>8645000</v>
      </c>
      <c r="I49" s="1" t="s">
        <v>92</v>
      </c>
      <c r="J49" s="1" t="s">
        <v>92</v>
      </c>
    </row>
    <row r="50" spans="1:10" ht="19" x14ac:dyDescent="0.25">
      <c r="A50" s="5" t="s">
        <v>42</v>
      </c>
      <c r="B50" s="1" t="s">
        <v>92</v>
      </c>
      <c r="C50" s="1">
        <v>919000</v>
      </c>
      <c r="D50" s="1">
        <v>1160000</v>
      </c>
      <c r="E50" s="1">
        <v>1627000</v>
      </c>
      <c r="F50" s="1">
        <v>8297000</v>
      </c>
      <c r="G50" s="1">
        <v>71633000</v>
      </c>
      <c r="H50" s="1">
        <v>106337000</v>
      </c>
      <c r="I50" s="1">
        <v>127782000</v>
      </c>
      <c r="J50" s="1">
        <v>150298000</v>
      </c>
    </row>
    <row r="51" spans="1:10" ht="19" x14ac:dyDescent="0.25">
      <c r="A51" s="5" t="s">
        <v>43</v>
      </c>
      <c r="B51" s="1" t="s">
        <v>92</v>
      </c>
      <c r="C51" s="1">
        <v>45972000</v>
      </c>
      <c r="D51" s="1">
        <v>23685000</v>
      </c>
      <c r="E51" s="1">
        <v>11238000</v>
      </c>
      <c r="F51" s="1">
        <v>155050000</v>
      </c>
      <c r="G51" s="1">
        <v>153031000</v>
      </c>
      <c r="H51" s="1">
        <v>136351000</v>
      </c>
      <c r="I51" s="1">
        <v>101845000</v>
      </c>
      <c r="J51" s="1"/>
    </row>
    <row r="52" spans="1:10" ht="19" x14ac:dyDescent="0.25">
      <c r="A52" s="5" t="s">
        <v>44</v>
      </c>
      <c r="B52" s="1">
        <v>6028000</v>
      </c>
      <c r="C52" s="1">
        <v>57561000</v>
      </c>
      <c r="D52" s="1">
        <v>43884000</v>
      </c>
      <c r="E52" s="1">
        <v>54919000</v>
      </c>
      <c r="F52" s="1">
        <v>208446000</v>
      </c>
      <c r="G52" s="1">
        <v>353275000</v>
      </c>
      <c r="H52" s="1">
        <v>421377000</v>
      </c>
      <c r="I52" s="1">
        <v>440512000</v>
      </c>
      <c r="J52" s="1">
        <v>585042000</v>
      </c>
    </row>
    <row r="53" spans="1:10" ht="19" x14ac:dyDescent="0.25">
      <c r="A53" s="5" t="s">
        <v>45</v>
      </c>
      <c r="B53" s="1" t="s">
        <v>92</v>
      </c>
      <c r="C53" s="1" t="s">
        <v>92</v>
      </c>
      <c r="D53" s="1" t="s">
        <v>92</v>
      </c>
      <c r="E53" s="1" t="s">
        <v>92</v>
      </c>
      <c r="F53" s="1" t="s">
        <v>92</v>
      </c>
      <c r="G53" s="1" t="s">
        <v>92</v>
      </c>
      <c r="H53" s="1" t="s">
        <v>92</v>
      </c>
      <c r="I53" s="1" t="s">
        <v>92</v>
      </c>
      <c r="J53" s="1" t="s">
        <v>92</v>
      </c>
    </row>
    <row r="54" spans="1:10" ht="20" thickBot="1" x14ac:dyDescent="0.3">
      <c r="A54" s="7" t="s">
        <v>46</v>
      </c>
      <c r="B54" s="11">
        <v>490247000</v>
      </c>
      <c r="C54" s="11">
        <v>821416000</v>
      </c>
      <c r="D54" s="11">
        <v>1375603000</v>
      </c>
      <c r="E54" s="11">
        <v>1137202000</v>
      </c>
      <c r="F54" s="11">
        <v>1860416000</v>
      </c>
      <c r="G54" s="11">
        <v>2608974000</v>
      </c>
      <c r="H54" s="11">
        <v>4158461000</v>
      </c>
      <c r="I54" s="11">
        <v>5775606000</v>
      </c>
      <c r="J54" s="11">
        <v>7097907000</v>
      </c>
    </row>
    <row r="55" spans="1:10" ht="20" thickTop="1" x14ac:dyDescent="0.25">
      <c r="A55" s="5" t="s">
        <v>47</v>
      </c>
      <c r="B55" s="1">
        <v>180000</v>
      </c>
      <c r="C55" s="1">
        <v>1299000</v>
      </c>
      <c r="D55" s="1">
        <v>2481000</v>
      </c>
      <c r="E55" s="1">
        <v>3519000</v>
      </c>
      <c r="F55" s="1">
        <v>6622000</v>
      </c>
      <c r="G55" s="1">
        <v>9458000</v>
      </c>
      <c r="H55" s="1">
        <v>8308000</v>
      </c>
      <c r="I55" s="1">
        <v>8989000</v>
      </c>
      <c r="J55" s="1">
        <v>3174000</v>
      </c>
    </row>
    <row r="56" spans="1:10" ht="19" x14ac:dyDescent="0.25">
      <c r="A56" s="5" t="s">
        <v>48</v>
      </c>
      <c r="B56" s="1" t="s">
        <v>92</v>
      </c>
      <c r="C56" s="1" t="s">
        <v>92</v>
      </c>
      <c r="D56" s="1" t="s">
        <v>92</v>
      </c>
      <c r="E56" s="1" t="s">
        <v>92</v>
      </c>
      <c r="F56" s="1" t="s">
        <v>92</v>
      </c>
      <c r="G56" s="1">
        <v>10791000</v>
      </c>
      <c r="H56" s="1">
        <v>13434000</v>
      </c>
      <c r="I56" s="1">
        <v>22996000</v>
      </c>
      <c r="J56" s="1">
        <v>33200000</v>
      </c>
    </row>
    <row r="57" spans="1:10" ht="19" x14ac:dyDescent="0.25">
      <c r="A57" s="5" t="s">
        <v>49</v>
      </c>
      <c r="B57" s="1">
        <v>3044000</v>
      </c>
      <c r="C57" s="1">
        <v>4715000</v>
      </c>
      <c r="D57" s="1">
        <v>17603000</v>
      </c>
      <c r="E57" s="1">
        <v>11454000</v>
      </c>
      <c r="F57" s="1">
        <v>22673000</v>
      </c>
      <c r="G57" s="1">
        <v>51172000</v>
      </c>
      <c r="H57" s="1">
        <v>58590000</v>
      </c>
      <c r="I57" s="1">
        <v>61297000</v>
      </c>
      <c r="J57" s="1">
        <v>93399000</v>
      </c>
    </row>
    <row r="58" spans="1:10" ht="19" x14ac:dyDescent="0.25">
      <c r="A58" s="5" t="s">
        <v>50</v>
      </c>
      <c r="B58" s="1" t="s">
        <v>92</v>
      </c>
      <c r="C58" s="1" t="s">
        <v>92</v>
      </c>
      <c r="D58" s="1" t="s">
        <v>92</v>
      </c>
      <c r="E58" s="1" t="s">
        <v>92</v>
      </c>
      <c r="F58" s="1" t="s">
        <v>92</v>
      </c>
      <c r="G58" s="1" t="s">
        <v>92</v>
      </c>
      <c r="H58" s="1" t="s">
        <v>92</v>
      </c>
      <c r="I58" s="1" t="s">
        <v>92</v>
      </c>
      <c r="J58" s="1" t="s">
        <v>92</v>
      </c>
    </row>
    <row r="59" spans="1:10" ht="19" x14ac:dyDescent="0.25">
      <c r="A59" s="5" t="s">
        <v>51</v>
      </c>
      <c r="B59" s="1">
        <v>363131000</v>
      </c>
      <c r="C59" s="1">
        <v>569551000</v>
      </c>
      <c r="D59" s="1">
        <v>1036709000</v>
      </c>
      <c r="E59" s="1">
        <v>727322000</v>
      </c>
      <c r="F59" s="1">
        <v>1201140000</v>
      </c>
      <c r="G59" s="1">
        <v>1556315000</v>
      </c>
      <c r="H59" s="1">
        <v>2649620000</v>
      </c>
      <c r="I59" s="1">
        <v>3648240000</v>
      </c>
      <c r="J59" s="1">
        <v>3648240000</v>
      </c>
    </row>
    <row r="60" spans="1:10" ht="19" x14ac:dyDescent="0.25">
      <c r="A60" s="6" t="s">
        <v>52</v>
      </c>
      <c r="B60" s="10">
        <v>366355000</v>
      </c>
      <c r="C60" s="10">
        <v>575565000</v>
      </c>
      <c r="D60" s="10">
        <v>1056793000</v>
      </c>
      <c r="E60" s="10">
        <v>742295000</v>
      </c>
      <c r="F60" s="10">
        <v>1230435000</v>
      </c>
      <c r="G60" s="10">
        <v>1627736000</v>
      </c>
      <c r="H60" s="10">
        <v>2729952000</v>
      </c>
      <c r="I60" s="10">
        <v>3741522000</v>
      </c>
      <c r="J60" s="10">
        <v>4489762000</v>
      </c>
    </row>
    <row r="61" spans="1:10" ht="19" x14ac:dyDescent="0.25">
      <c r="A61" s="5" t="s">
        <v>53</v>
      </c>
      <c r="B61" s="1" t="s">
        <v>92</v>
      </c>
      <c r="C61" s="1" t="s">
        <v>92</v>
      </c>
      <c r="D61" s="1" t="s">
        <v>92</v>
      </c>
      <c r="E61" s="1" t="s">
        <v>92</v>
      </c>
      <c r="F61" s="1" t="s">
        <v>92</v>
      </c>
      <c r="G61" s="1">
        <v>50903000</v>
      </c>
      <c r="H61" s="1">
        <v>118051000</v>
      </c>
      <c r="I61" s="1">
        <v>119968000</v>
      </c>
      <c r="J61" s="1">
        <v>169873000</v>
      </c>
    </row>
    <row r="62" spans="1:10" ht="19" x14ac:dyDescent="0.25">
      <c r="A62" s="5" t="s">
        <v>50</v>
      </c>
      <c r="B62" s="1" t="s">
        <v>92</v>
      </c>
      <c r="C62" s="1" t="s">
        <v>92</v>
      </c>
      <c r="D62" s="1" t="s">
        <v>92</v>
      </c>
      <c r="E62" s="1" t="s">
        <v>92</v>
      </c>
      <c r="F62" s="1" t="s">
        <v>92</v>
      </c>
      <c r="G62" s="1" t="s">
        <v>92</v>
      </c>
      <c r="H62" s="1" t="s">
        <v>92</v>
      </c>
      <c r="I62" s="1" t="s">
        <v>92</v>
      </c>
      <c r="J62" s="1" t="s">
        <v>92</v>
      </c>
    </row>
    <row r="63" spans="1:10" ht="19" x14ac:dyDescent="0.25">
      <c r="A63" s="5" t="s">
        <v>54</v>
      </c>
      <c r="B63" s="1" t="s">
        <v>92</v>
      </c>
      <c r="C63" s="1">
        <v>19000</v>
      </c>
      <c r="D63" s="1">
        <v>3848000</v>
      </c>
      <c r="E63" s="1">
        <v>5130000</v>
      </c>
      <c r="F63" s="1">
        <v>23777000</v>
      </c>
      <c r="G63" s="1">
        <v>26214000</v>
      </c>
      <c r="H63" s="1">
        <v>23924000</v>
      </c>
      <c r="I63" s="1">
        <v>16401000</v>
      </c>
      <c r="J63" s="1">
        <v>11345000</v>
      </c>
    </row>
    <row r="64" spans="1:10" ht="19" x14ac:dyDescent="0.25">
      <c r="A64" s="5" t="s">
        <v>55</v>
      </c>
      <c r="B64" s="1" t="s">
        <v>92</v>
      </c>
      <c r="C64" s="1" t="s">
        <v>92</v>
      </c>
      <c r="D64" s="1" t="s">
        <v>92</v>
      </c>
      <c r="E64" s="1" t="s">
        <v>92</v>
      </c>
      <c r="F64" s="1">
        <v>23800000</v>
      </c>
      <c r="G64" s="1">
        <v>35800000</v>
      </c>
      <c r="H64" s="1">
        <v>68400000</v>
      </c>
      <c r="I64" s="1">
        <v>87301000</v>
      </c>
      <c r="J64" s="1">
        <v>35000000</v>
      </c>
    </row>
    <row r="65" spans="1:10" ht="19" x14ac:dyDescent="0.25">
      <c r="A65" s="5" t="s">
        <v>56</v>
      </c>
      <c r="B65" s="1" t="s">
        <v>92</v>
      </c>
      <c r="C65" s="1">
        <v>19000</v>
      </c>
      <c r="D65" s="1">
        <v>3848000</v>
      </c>
      <c r="E65" s="1">
        <v>5130000</v>
      </c>
      <c r="F65" s="1">
        <v>47577000</v>
      </c>
      <c r="G65" s="1">
        <v>112917000</v>
      </c>
      <c r="H65" s="1">
        <v>210375000</v>
      </c>
      <c r="I65" s="1">
        <v>223670000</v>
      </c>
      <c r="J65" s="1">
        <f>196027000</f>
        <v>196027000</v>
      </c>
    </row>
    <row r="66" spans="1:10" ht="19" x14ac:dyDescent="0.25">
      <c r="A66" s="5" t="s">
        <v>57</v>
      </c>
      <c r="B66" s="1" t="s">
        <v>92</v>
      </c>
      <c r="C66" s="1" t="s">
        <v>92</v>
      </c>
      <c r="D66" s="1" t="s">
        <v>92</v>
      </c>
      <c r="E66" s="1" t="s">
        <v>92</v>
      </c>
      <c r="F66" s="1" t="s">
        <v>92</v>
      </c>
      <c r="G66" s="1" t="s">
        <v>92</v>
      </c>
      <c r="H66" s="1" t="s">
        <v>92</v>
      </c>
      <c r="I66" s="1" t="s">
        <v>92</v>
      </c>
      <c r="J66" s="1" t="s">
        <v>92</v>
      </c>
    </row>
    <row r="67" spans="1:10" ht="19" x14ac:dyDescent="0.25">
      <c r="A67" s="6" t="s">
        <v>58</v>
      </c>
      <c r="B67" s="10">
        <v>366355000</v>
      </c>
      <c r="C67" s="10">
        <v>575584000</v>
      </c>
      <c r="D67" s="10">
        <v>1060641000</v>
      </c>
      <c r="E67" s="10">
        <v>747425000</v>
      </c>
      <c r="F67" s="10">
        <v>1278012000</v>
      </c>
      <c r="G67" s="10">
        <v>1740653000</v>
      </c>
      <c r="H67" s="10">
        <v>2940327000</v>
      </c>
      <c r="I67" s="10">
        <v>3965192000</v>
      </c>
      <c r="J67" s="10">
        <f>J60+J65</f>
        <v>4685789000</v>
      </c>
    </row>
    <row r="68" spans="1:10" ht="19" x14ac:dyDescent="0.25">
      <c r="A68" s="5" t="s">
        <v>59</v>
      </c>
      <c r="B68" s="1">
        <v>288000</v>
      </c>
      <c r="C68" s="1">
        <v>294000</v>
      </c>
      <c r="D68" s="1">
        <v>294000</v>
      </c>
      <c r="E68" s="1">
        <v>295000</v>
      </c>
      <c r="F68" s="1">
        <v>296000</v>
      </c>
      <c r="G68" s="1">
        <v>301000</v>
      </c>
      <c r="H68" s="1">
        <v>304000</v>
      </c>
      <c r="I68" s="1">
        <v>310000</v>
      </c>
      <c r="J68" s="1">
        <v>310000</v>
      </c>
    </row>
    <row r="69" spans="1:10" ht="19" x14ac:dyDescent="0.25">
      <c r="A69" s="5" t="s">
        <v>60</v>
      </c>
      <c r="B69" s="1">
        <v>11711000</v>
      </c>
      <c r="C69" s="1">
        <v>44378000</v>
      </c>
      <c r="D69" s="1">
        <v>140631000</v>
      </c>
      <c r="E69" s="1">
        <v>212236000</v>
      </c>
      <c r="F69" s="1">
        <v>357231000</v>
      </c>
      <c r="G69" s="1">
        <v>559494000</v>
      </c>
      <c r="H69" s="1">
        <v>873291000</v>
      </c>
      <c r="I69" s="1">
        <v>1336922000</v>
      </c>
      <c r="J69" s="1">
        <v>1902857000</v>
      </c>
    </row>
    <row r="70" spans="1:10" ht="19" x14ac:dyDescent="0.25">
      <c r="A70" s="5" t="s">
        <v>61</v>
      </c>
      <c r="B70" s="1" t="s">
        <v>92</v>
      </c>
      <c r="C70" s="1" t="s">
        <v>92</v>
      </c>
      <c r="D70" s="1" t="s">
        <v>92</v>
      </c>
      <c r="E70" s="1" t="s">
        <v>92</v>
      </c>
      <c r="F70" s="1" t="s">
        <v>92</v>
      </c>
      <c r="G70" s="1" t="s">
        <v>92</v>
      </c>
      <c r="H70" s="1" t="s">
        <v>92</v>
      </c>
      <c r="I70" s="1" t="s">
        <v>92</v>
      </c>
      <c r="J70" s="1" t="s">
        <v>92</v>
      </c>
    </row>
    <row r="71" spans="1:10" ht="19" x14ac:dyDescent="0.25">
      <c r="A71" s="5" t="s">
        <v>62</v>
      </c>
      <c r="B71" s="1">
        <v>111893000</v>
      </c>
      <c r="C71" s="1">
        <v>201160000</v>
      </c>
      <c r="D71" s="1">
        <v>174037000</v>
      </c>
      <c r="E71" s="1">
        <v>177246000</v>
      </c>
      <c r="F71" s="1">
        <v>224877000</v>
      </c>
      <c r="G71" s="1">
        <v>308526000</v>
      </c>
      <c r="H71" s="1">
        <v>344539000</v>
      </c>
      <c r="I71" s="1">
        <v>473182000</v>
      </c>
      <c r="J71" s="1">
        <v>564139000</v>
      </c>
    </row>
    <row r="72" spans="1:10" ht="19" x14ac:dyDescent="0.25">
      <c r="A72" s="6" t="s">
        <v>63</v>
      </c>
      <c r="B72" s="10">
        <v>123892000</v>
      </c>
      <c r="C72" s="10">
        <v>245832000</v>
      </c>
      <c r="D72" s="10">
        <v>314962000</v>
      </c>
      <c r="E72" s="10">
        <v>389777000</v>
      </c>
      <c r="F72" s="10">
        <v>582404000</v>
      </c>
      <c r="G72" s="10">
        <v>868321000</v>
      </c>
      <c r="H72" s="10">
        <v>1218134000</v>
      </c>
      <c r="I72" s="10">
        <v>1810414000</v>
      </c>
      <c r="J72" s="10">
        <v>2412118000</v>
      </c>
    </row>
    <row r="73" spans="1:10" ht="20" thickBot="1" x14ac:dyDescent="0.3">
      <c r="A73" s="7" t="s">
        <v>64</v>
      </c>
      <c r="B73" s="11">
        <v>490247000</v>
      </c>
      <c r="C73" s="11">
        <v>821416000</v>
      </c>
      <c r="D73" s="11">
        <v>1375603000</v>
      </c>
      <c r="E73" s="11">
        <v>1137202000</v>
      </c>
      <c r="F73" s="11">
        <v>1860416000</v>
      </c>
      <c r="G73" s="11">
        <v>2608974000</v>
      </c>
      <c r="H73" s="11">
        <v>4158461000</v>
      </c>
      <c r="I73" s="11">
        <v>5775606000</v>
      </c>
      <c r="J73" s="11">
        <f>J67+J72</f>
        <v>7097907000</v>
      </c>
    </row>
    <row r="74" spans="1:10" ht="20" thickTop="1" x14ac:dyDescent="0.25">
      <c r="A74" s="5" t="s">
        <v>28</v>
      </c>
      <c r="B74" s="13" t="s">
        <v>93</v>
      </c>
      <c r="C74" s="13" t="s">
        <v>93</v>
      </c>
      <c r="D74" s="13" t="s">
        <v>93</v>
      </c>
      <c r="E74" s="13" t="s">
        <v>93</v>
      </c>
      <c r="F74" s="13" t="s">
        <v>93</v>
      </c>
      <c r="G74" s="13" t="s">
        <v>93</v>
      </c>
      <c r="H74" s="13" t="s">
        <v>93</v>
      </c>
      <c r="I74" s="13" t="s">
        <v>93</v>
      </c>
      <c r="J74" s="13" t="s">
        <v>93</v>
      </c>
    </row>
    <row r="75" spans="1:10" ht="21" x14ac:dyDescent="0.25">
      <c r="A75" s="4" t="s">
        <v>65</v>
      </c>
      <c r="B75" s="9" t="s">
        <v>91</v>
      </c>
      <c r="C75" s="9" t="s">
        <v>91</v>
      </c>
      <c r="D75" s="9" t="s">
        <v>91</v>
      </c>
      <c r="E75" s="9" t="s">
        <v>91</v>
      </c>
      <c r="F75" s="9" t="s">
        <v>91</v>
      </c>
      <c r="G75" s="9" t="s">
        <v>91</v>
      </c>
      <c r="H75" s="9" t="s">
        <v>91</v>
      </c>
      <c r="I75" s="9" t="s">
        <v>91</v>
      </c>
      <c r="J75" s="9" t="s">
        <v>91</v>
      </c>
    </row>
    <row r="76" spans="1:10" ht="19" x14ac:dyDescent="0.25">
      <c r="A76" s="5" t="s">
        <v>66</v>
      </c>
      <c r="B76" s="1">
        <v>10864000</v>
      </c>
      <c r="C76" s="1">
        <v>33608000</v>
      </c>
      <c r="D76" s="1">
        <v>97230000</v>
      </c>
      <c r="E76" s="1">
        <v>71307000</v>
      </c>
      <c r="F76" s="1">
        <v>131146000</v>
      </c>
      <c r="G76" s="1">
        <v>204039000</v>
      </c>
      <c r="H76" s="1">
        <v>261019000</v>
      </c>
      <c r="I76" s="1">
        <v>469717000</v>
      </c>
      <c r="J76" s="1">
        <f>J28</f>
        <v>564139000</v>
      </c>
    </row>
    <row r="77" spans="1:10" ht="19" x14ac:dyDescent="0.25">
      <c r="A77" s="5" t="s">
        <v>13</v>
      </c>
      <c r="B77" s="1">
        <v>1056000</v>
      </c>
      <c r="C77" s="1">
        <v>2218000</v>
      </c>
      <c r="D77" s="1">
        <v>4136000</v>
      </c>
      <c r="E77" s="1">
        <v>5936000</v>
      </c>
      <c r="F77" s="1">
        <v>8736000</v>
      </c>
      <c r="G77" s="1">
        <v>22326000</v>
      </c>
      <c r="H77" s="1">
        <v>28567000</v>
      </c>
      <c r="I77" s="1">
        <v>35011000</v>
      </c>
      <c r="J77" s="1">
        <f>J18</f>
        <v>63613000</v>
      </c>
    </row>
    <row r="78" spans="1:10" ht="19" x14ac:dyDescent="0.25">
      <c r="A78" s="5" t="s">
        <v>67</v>
      </c>
      <c r="B78" s="1" t="s">
        <v>92</v>
      </c>
      <c r="C78" s="1" t="s">
        <v>92</v>
      </c>
      <c r="D78" s="1" t="s">
        <v>92</v>
      </c>
      <c r="E78" s="1" t="s">
        <v>92</v>
      </c>
      <c r="F78" s="1" t="s">
        <v>92</v>
      </c>
      <c r="G78" s="1" t="s">
        <v>92</v>
      </c>
      <c r="H78" s="1" t="s">
        <v>92</v>
      </c>
      <c r="I78" s="1" t="s">
        <v>92</v>
      </c>
      <c r="J78" s="1" t="s">
        <v>92</v>
      </c>
    </row>
    <row r="79" spans="1:10" ht="19" x14ac:dyDescent="0.25">
      <c r="A79" s="5" t="s">
        <v>68</v>
      </c>
      <c r="B79" s="1">
        <v>1709000</v>
      </c>
      <c r="C79" s="1">
        <v>2175000</v>
      </c>
      <c r="D79" s="1">
        <v>1030000</v>
      </c>
      <c r="E79" s="1">
        <v>1277000</v>
      </c>
      <c r="F79" s="1">
        <v>3537000</v>
      </c>
      <c r="G79" s="1">
        <v>3125000</v>
      </c>
      <c r="H79" s="1">
        <v>7994000</v>
      </c>
      <c r="I79" s="1">
        <v>5893000</v>
      </c>
      <c r="J79" s="1">
        <v>7000000</v>
      </c>
    </row>
    <row r="80" spans="1:10" ht="19" x14ac:dyDescent="0.25">
      <c r="A80" s="14" t="s">
        <v>104</v>
      </c>
      <c r="B80" s="15">
        <f t="shared" ref="B80:J80" si="18">B79/B3</f>
        <v>1.11208719700667E-2</v>
      </c>
      <c r="C80" s="15">
        <f t="shared" si="18"/>
        <v>6.5689925430608784E-3</v>
      </c>
      <c r="D80" s="15">
        <f t="shared" si="18"/>
        <v>1.5621184753117033E-3</v>
      </c>
      <c r="E80" s="15">
        <f t="shared" si="18"/>
        <v>1.2613093121567698E-3</v>
      </c>
      <c r="F80" s="15">
        <f t="shared" si="18"/>
        <v>2.1398132306642433E-3</v>
      </c>
      <c r="G80" s="15">
        <f t="shared" si="18"/>
        <v>1.1762385509644403E-3</v>
      </c>
      <c r="H80" s="15">
        <f t="shared" si="18"/>
        <v>2.1953161279940157E-3</v>
      </c>
      <c r="I80" s="15">
        <f t="shared" si="18"/>
        <v>9.8291712389075728E-4</v>
      </c>
      <c r="J80" s="15">
        <f t="shared" si="18"/>
        <v>7.8337797282148464E-4</v>
      </c>
    </row>
    <row r="81" spans="1:18" ht="19" x14ac:dyDescent="0.25">
      <c r="A81" s="5" t="s">
        <v>69</v>
      </c>
      <c r="B81" s="1">
        <v>130651000</v>
      </c>
      <c r="C81" s="1">
        <v>100546000</v>
      </c>
      <c r="D81" s="1">
        <v>78606000</v>
      </c>
      <c r="E81" s="1">
        <v>141886000</v>
      </c>
      <c r="F81" s="1">
        <v>221422000</v>
      </c>
      <c r="G81" s="1">
        <v>300409000</v>
      </c>
      <c r="H81" s="1">
        <v>686210000</v>
      </c>
      <c r="I81" s="1">
        <v>1323437000</v>
      </c>
      <c r="J81" s="1"/>
    </row>
    <row r="82" spans="1:18" ht="19" x14ac:dyDescent="0.25">
      <c r="A82" s="5" t="s">
        <v>70</v>
      </c>
      <c r="B82" s="1" t="s">
        <v>92</v>
      </c>
      <c r="C82" s="1" t="s">
        <v>92</v>
      </c>
      <c r="D82" s="1" t="s">
        <v>92</v>
      </c>
      <c r="E82" s="1" t="s">
        <v>92</v>
      </c>
      <c r="F82" s="1" t="s">
        <v>92</v>
      </c>
      <c r="G82" s="1" t="s">
        <v>92</v>
      </c>
      <c r="H82" s="1" t="s">
        <v>92</v>
      </c>
      <c r="I82" s="1" t="s">
        <v>92</v>
      </c>
      <c r="J82" s="1" t="s">
        <v>92</v>
      </c>
    </row>
    <row r="83" spans="1:18" ht="21" x14ac:dyDescent="0.25">
      <c r="A83" s="5" t="s">
        <v>34</v>
      </c>
      <c r="B83" s="1">
        <v>214000</v>
      </c>
      <c r="C83" s="1">
        <v>-1394000</v>
      </c>
      <c r="D83" s="1">
        <v>-1784000</v>
      </c>
      <c r="E83" s="1">
        <v>-771000</v>
      </c>
      <c r="F83" s="1">
        <v>-3847000</v>
      </c>
      <c r="G83" s="1">
        <v>844000</v>
      </c>
      <c r="H83" s="1">
        <v>-12528000</v>
      </c>
      <c r="I83" s="1">
        <v>-3851000</v>
      </c>
      <c r="J83" s="1"/>
      <c r="Q83" s="63" t="s">
        <v>126</v>
      </c>
      <c r="R83" s="64"/>
    </row>
    <row r="84" spans="1:18" ht="19" x14ac:dyDescent="0.25">
      <c r="A84" s="5" t="s">
        <v>47</v>
      </c>
      <c r="B84" s="1" t="s">
        <v>92</v>
      </c>
      <c r="C84" s="1" t="s">
        <v>92</v>
      </c>
      <c r="D84" s="1" t="s">
        <v>92</v>
      </c>
      <c r="E84" s="1" t="s">
        <v>92</v>
      </c>
      <c r="F84" s="1" t="s">
        <v>92</v>
      </c>
      <c r="G84" s="1" t="s">
        <v>92</v>
      </c>
      <c r="H84" s="1" t="s">
        <v>92</v>
      </c>
      <c r="I84" s="1" t="s">
        <v>92</v>
      </c>
      <c r="J84" s="1" t="s">
        <v>92</v>
      </c>
      <c r="Q84" s="65" t="s">
        <v>127</v>
      </c>
      <c r="R84" s="66"/>
    </row>
    <row r="85" spans="1:18" ht="20" x14ac:dyDescent="0.25">
      <c r="A85" s="5" t="s">
        <v>71</v>
      </c>
      <c r="B85" s="1" t="s">
        <v>92</v>
      </c>
      <c r="C85" s="1" t="s">
        <v>92</v>
      </c>
      <c r="D85" s="1" t="s">
        <v>92</v>
      </c>
      <c r="E85" s="1" t="s">
        <v>92</v>
      </c>
      <c r="F85" s="1" t="s">
        <v>92</v>
      </c>
      <c r="G85" s="1" t="s">
        <v>92</v>
      </c>
      <c r="H85" s="1" t="s">
        <v>92</v>
      </c>
      <c r="I85" s="1" t="s">
        <v>92</v>
      </c>
      <c r="J85" s="1" t="s">
        <v>92</v>
      </c>
      <c r="Q85" s="24" t="s">
        <v>128</v>
      </c>
      <c r="R85" s="25">
        <f>J17</f>
        <v>11963000</v>
      </c>
    </row>
    <row r="86" spans="1:18" ht="20" x14ac:dyDescent="0.25">
      <c r="A86" s="5" t="s">
        <v>72</v>
      </c>
      <c r="B86" s="1">
        <v>1501000</v>
      </c>
      <c r="C86" s="1">
        <v>-149000</v>
      </c>
      <c r="D86" s="1">
        <v>8563000</v>
      </c>
      <c r="E86" s="1">
        <v>-19794000</v>
      </c>
      <c r="F86" s="1">
        <v>19164000</v>
      </c>
      <c r="G86" s="1">
        <v>-444000</v>
      </c>
      <c r="H86" s="1">
        <v>32857000</v>
      </c>
      <c r="I86" s="1">
        <v>-13912000</v>
      </c>
      <c r="J86" s="1"/>
      <c r="Q86" s="24" t="s">
        <v>129</v>
      </c>
      <c r="R86" s="25">
        <f>J56</f>
        <v>33200000</v>
      </c>
    </row>
    <row r="87" spans="1:18" ht="20" x14ac:dyDescent="0.25">
      <c r="A87" s="6" t="s">
        <v>73</v>
      </c>
      <c r="B87" s="10">
        <v>145781000</v>
      </c>
      <c r="C87" s="10">
        <v>138398000</v>
      </c>
      <c r="D87" s="10">
        <v>189565000</v>
      </c>
      <c r="E87" s="10">
        <v>200612000</v>
      </c>
      <c r="F87" s="10">
        <v>384005000</v>
      </c>
      <c r="G87" s="10">
        <v>529455000</v>
      </c>
      <c r="H87" s="10">
        <v>1016647000</v>
      </c>
      <c r="I87" s="10">
        <v>1820146000</v>
      </c>
      <c r="J87" s="10">
        <v>2029379000</v>
      </c>
      <c r="Q87" s="24" t="s">
        <v>130</v>
      </c>
      <c r="R87" s="25">
        <f>J61</f>
        <v>169873000</v>
      </c>
    </row>
    <row r="88" spans="1:18" ht="20" x14ac:dyDescent="0.25">
      <c r="A88" s="5" t="s">
        <v>74</v>
      </c>
      <c r="B88" s="1">
        <v>-3353000</v>
      </c>
      <c r="C88" s="1">
        <v>-5236000</v>
      </c>
      <c r="D88" s="1">
        <v>-10537000</v>
      </c>
      <c r="E88" s="1">
        <v>-9685000</v>
      </c>
      <c r="F88" s="1">
        <v>-11041000</v>
      </c>
      <c r="G88" s="1">
        <v>-15186000</v>
      </c>
      <c r="H88" s="1">
        <v>-17097000</v>
      </c>
      <c r="I88" s="1">
        <v>-51387000</v>
      </c>
      <c r="J88" s="1">
        <v>-95575000</v>
      </c>
      <c r="Q88" s="32" t="s">
        <v>131</v>
      </c>
      <c r="R88" s="33">
        <f>R85/(R86+R87)</f>
        <v>5.8909850152408245E-2</v>
      </c>
    </row>
    <row r="89" spans="1:18" ht="20" customHeight="1" x14ac:dyDescent="0.25">
      <c r="A89" s="14" t="s">
        <v>105</v>
      </c>
      <c r="B89" s="15">
        <f t="shared" ref="B89:J89" si="19">(-1*B88)/B3</f>
        <v>2.1818773385391246E-2</v>
      </c>
      <c r="C89" s="15">
        <f t="shared" si="19"/>
        <v>1.5813905726651385E-2</v>
      </c>
      <c r="D89" s="15">
        <f t="shared" si="19"/>
        <v>1.5980623664426621E-2</v>
      </c>
      <c r="E89" s="15">
        <f t="shared" si="19"/>
        <v>9.5659989727786346E-3</v>
      </c>
      <c r="F89" s="15">
        <f t="shared" si="19"/>
        <v>6.6795809668543718E-3</v>
      </c>
      <c r="G89" s="15">
        <f t="shared" si="19"/>
        <v>5.7159547631827172E-3</v>
      </c>
      <c r="H89" s="15">
        <f t="shared" si="19"/>
        <v>4.6951863698165728E-3</v>
      </c>
      <c r="I89" s="15">
        <f t="shared" si="19"/>
        <v>8.5710439920879591E-3</v>
      </c>
      <c r="J89" s="15">
        <f t="shared" si="19"/>
        <v>1.0695907107487627E-2</v>
      </c>
      <c r="Q89" s="24" t="s">
        <v>106</v>
      </c>
      <c r="R89" s="25">
        <f>J27</f>
        <v>149690000</v>
      </c>
    </row>
    <row r="90" spans="1:18" ht="20" x14ac:dyDescent="0.25">
      <c r="A90" s="5" t="s">
        <v>75</v>
      </c>
      <c r="B90" s="1" t="s">
        <v>92</v>
      </c>
      <c r="C90" s="1" t="s">
        <v>92</v>
      </c>
      <c r="D90" s="1" t="s">
        <v>92</v>
      </c>
      <c r="E90" s="1" t="s">
        <v>92</v>
      </c>
      <c r="F90" s="1" t="s">
        <v>92</v>
      </c>
      <c r="G90" s="1" t="s">
        <v>92</v>
      </c>
      <c r="H90" s="1" t="s">
        <v>92</v>
      </c>
      <c r="I90" s="1" t="s">
        <v>92</v>
      </c>
      <c r="J90" s="1" t="s">
        <v>92</v>
      </c>
      <c r="Q90" s="24" t="s">
        <v>19</v>
      </c>
      <c r="R90" s="25">
        <f>J25</f>
        <v>653424000</v>
      </c>
    </row>
    <row r="91" spans="1:18" ht="20" x14ac:dyDescent="0.25">
      <c r="A91" s="5" t="s">
        <v>76</v>
      </c>
      <c r="B91" s="1" t="s">
        <v>92</v>
      </c>
      <c r="C91" s="1" t="s">
        <v>92</v>
      </c>
      <c r="D91" s="1" t="s">
        <v>92</v>
      </c>
      <c r="E91" s="1">
        <v>-6989000</v>
      </c>
      <c r="F91" s="1">
        <v>-9607000</v>
      </c>
      <c r="G91" s="1">
        <v>-10073000</v>
      </c>
      <c r="H91" s="1">
        <v>-13355000</v>
      </c>
      <c r="I91" s="1">
        <v>-211000</v>
      </c>
      <c r="J91" s="1">
        <v>0</v>
      </c>
      <c r="Q91" s="32" t="s">
        <v>132</v>
      </c>
      <c r="R91" s="33">
        <f>R89/R90</f>
        <v>0.22908555547393422</v>
      </c>
    </row>
    <row r="92" spans="1:18" ht="20" x14ac:dyDescent="0.25">
      <c r="A92" s="5" t="s">
        <v>77</v>
      </c>
      <c r="B92" s="1" t="s">
        <v>92</v>
      </c>
      <c r="C92" s="1" t="s">
        <v>92</v>
      </c>
      <c r="D92" s="1" t="s">
        <v>92</v>
      </c>
      <c r="E92" s="1" t="s">
        <v>92</v>
      </c>
      <c r="F92" s="1">
        <v>6989000</v>
      </c>
      <c r="G92" s="1">
        <v>7275000</v>
      </c>
      <c r="H92" s="1">
        <v>13088000</v>
      </c>
      <c r="I92" s="1">
        <v>12427000</v>
      </c>
      <c r="J92" s="1">
        <v>0</v>
      </c>
      <c r="Q92" s="34" t="s">
        <v>133</v>
      </c>
      <c r="R92" s="35">
        <f>R88*(1-R91)</f>
        <v>4.5414454407357578E-2</v>
      </c>
    </row>
    <row r="93" spans="1:18" ht="19" x14ac:dyDescent="0.25">
      <c r="A93" s="5" t="s">
        <v>78</v>
      </c>
      <c r="B93" s="1">
        <v>-1180000</v>
      </c>
      <c r="C93" s="1">
        <v>-1626000</v>
      </c>
      <c r="D93" s="1">
        <v>-1923000</v>
      </c>
      <c r="E93" s="1">
        <v>-1273000</v>
      </c>
      <c r="F93" s="1">
        <v>-2769000</v>
      </c>
      <c r="G93" s="1">
        <v>-4773000</v>
      </c>
      <c r="H93" s="1">
        <v>-4795000</v>
      </c>
      <c r="I93" s="1">
        <v>-2959000</v>
      </c>
      <c r="J93" s="1">
        <v>-3523000</v>
      </c>
      <c r="Q93" s="65" t="s">
        <v>134</v>
      </c>
      <c r="R93" s="66"/>
    </row>
    <row r="94" spans="1:18" ht="20" x14ac:dyDescent="0.25">
      <c r="A94" s="6" t="s">
        <v>79</v>
      </c>
      <c r="B94" s="10">
        <v>-4533000</v>
      </c>
      <c r="C94" s="10">
        <v>-6862000</v>
      </c>
      <c r="D94" s="10">
        <v>-12460000</v>
      </c>
      <c r="E94" s="10">
        <v>-17947000</v>
      </c>
      <c r="F94" s="10">
        <v>-16428000</v>
      </c>
      <c r="G94" s="10">
        <v>-22757000</v>
      </c>
      <c r="H94" s="10">
        <v>-22159000</v>
      </c>
      <c r="I94" s="10">
        <v>-42130000</v>
      </c>
      <c r="J94" s="10">
        <v>-87691000</v>
      </c>
      <c r="Q94" s="24" t="s">
        <v>135</v>
      </c>
      <c r="R94" s="36">
        <v>4.095E-2</v>
      </c>
    </row>
    <row r="95" spans="1:18" ht="20" x14ac:dyDescent="0.25">
      <c r="A95" s="5" t="s">
        <v>80</v>
      </c>
      <c r="B95" s="1" t="s">
        <v>92</v>
      </c>
      <c r="C95" s="1" t="s">
        <v>92</v>
      </c>
      <c r="D95" s="1" t="s">
        <v>92</v>
      </c>
      <c r="E95" s="1" t="s">
        <v>92</v>
      </c>
      <c r="F95" s="1" t="s">
        <v>92</v>
      </c>
      <c r="G95" s="1" t="s">
        <v>92</v>
      </c>
      <c r="H95" s="1" t="s">
        <v>92</v>
      </c>
      <c r="I95" s="1" t="s">
        <v>92</v>
      </c>
      <c r="J95" s="1" t="s">
        <v>92</v>
      </c>
      <c r="Q95" s="24" t="s">
        <v>136</v>
      </c>
      <c r="R95" s="37" cm="1">
        <f t="array" ref="R95">_FV(A1,"Beta")</f>
        <v>1.3301000000000001</v>
      </c>
    </row>
    <row r="96" spans="1:18" ht="20" x14ac:dyDescent="0.25">
      <c r="A96" s="5" t="s">
        <v>81</v>
      </c>
      <c r="B96" s="1">
        <v>96717000</v>
      </c>
      <c r="C96" s="1">
        <v>39981000</v>
      </c>
      <c r="D96" s="1">
        <v>172000</v>
      </c>
      <c r="E96" s="1">
        <v>984000</v>
      </c>
      <c r="F96" s="1">
        <v>36153000</v>
      </c>
      <c r="G96" s="1">
        <v>37613000</v>
      </c>
      <c r="H96" s="1">
        <v>12832000</v>
      </c>
      <c r="I96" s="1">
        <v>105285000</v>
      </c>
      <c r="J96" s="1">
        <v>9926000</v>
      </c>
      <c r="Q96" s="24" t="s">
        <v>137</v>
      </c>
      <c r="R96" s="36">
        <v>8.4000000000000005E-2</v>
      </c>
    </row>
    <row r="97" spans="1:18" ht="20" x14ac:dyDescent="0.25">
      <c r="A97" s="5" t="s">
        <v>82</v>
      </c>
      <c r="B97" s="1" t="s">
        <v>92</v>
      </c>
      <c r="C97" s="1" t="s">
        <v>92</v>
      </c>
      <c r="D97" s="1" t="s">
        <v>92</v>
      </c>
      <c r="E97" s="1" t="s">
        <v>92</v>
      </c>
      <c r="F97" s="1">
        <v>-31035000</v>
      </c>
      <c r="G97" s="1">
        <v>-18323000</v>
      </c>
      <c r="H97" s="1" t="s">
        <v>92</v>
      </c>
      <c r="I97" s="1" t="s">
        <v>92</v>
      </c>
      <c r="J97" s="1" t="s">
        <v>92</v>
      </c>
      <c r="Q97" s="34" t="s">
        <v>138</v>
      </c>
      <c r="R97" s="35">
        <f>(R94)+((R95)*(R96-R94))</f>
        <v>9.8210805000000012E-2</v>
      </c>
    </row>
    <row r="98" spans="1:18" ht="19" x14ac:dyDescent="0.25">
      <c r="A98" s="5" t="s">
        <v>83</v>
      </c>
      <c r="B98" s="1" t="s">
        <v>92</v>
      </c>
      <c r="C98" s="1" t="s">
        <v>92</v>
      </c>
      <c r="D98" s="1" t="s">
        <v>92</v>
      </c>
      <c r="E98" s="1" t="s">
        <v>92</v>
      </c>
      <c r="F98" s="1" t="s">
        <v>92</v>
      </c>
      <c r="G98" s="1" t="s">
        <v>92</v>
      </c>
      <c r="H98" s="1" t="s">
        <v>92</v>
      </c>
      <c r="I98" s="1" t="s">
        <v>92</v>
      </c>
      <c r="J98" s="1" t="s">
        <v>92</v>
      </c>
      <c r="Q98" s="65" t="s">
        <v>139</v>
      </c>
      <c r="R98" s="66"/>
    </row>
    <row r="99" spans="1:18" ht="20" x14ac:dyDescent="0.25">
      <c r="A99" s="5" t="s">
        <v>84</v>
      </c>
      <c r="B99" s="1" t="s">
        <v>92</v>
      </c>
      <c r="C99" s="1" t="s">
        <v>92</v>
      </c>
      <c r="D99" s="1" t="s">
        <v>92</v>
      </c>
      <c r="E99" s="1" t="s">
        <v>92</v>
      </c>
      <c r="F99" s="1" t="s">
        <v>92</v>
      </c>
      <c r="G99" s="1">
        <v>-9932000</v>
      </c>
      <c r="H99" s="1">
        <v>-9439000</v>
      </c>
      <c r="I99" s="1">
        <v>-9045000</v>
      </c>
      <c r="J99" s="1">
        <v>-22144000</v>
      </c>
      <c r="Q99" s="24" t="s">
        <v>140</v>
      </c>
      <c r="R99" s="25">
        <f>R86+R87</f>
        <v>203073000</v>
      </c>
    </row>
    <row r="100" spans="1:18" ht="20" x14ac:dyDescent="0.25">
      <c r="A100" s="6" t="s">
        <v>85</v>
      </c>
      <c r="B100" s="10">
        <v>96717000</v>
      </c>
      <c r="C100" s="10">
        <v>39981000</v>
      </c>
      <c r="D100" s="10">
        <v>172000</v>
      </c>
      <c r="E100" s="10">
        <v>984000</v>
      </c>
      <c r="F100" s="10">
        <v>5118000</v>
      </c>
      <c r="G100" s="10">
        <v>9358000</v>
      </c>
      <c r="H100" s="10">
        <v>3393000</v>
      </c>
      <c r="I100" s="10">
        <v>96240000</v>
      </c>
      <c r="J100" s="10">
        <v>-12218000</v>
      </c>
      <c r="Q100" s="32" t="s">
        <v>141</v>
      </c>
      <c r="R100" s="33">
        <f>R99/R103</f>
        <v>4.3817659518188071E-3</v>
      </c>
    </row>
    <row r="101" spans="1:18" ht="20" x14ac:dyDescent="0.25">
      <c r="A101" s="5" t="s">
        <v>86</v>
      </c>
      <c r="B101" s="1">
        <v>134000</v>
      </c>
      <c r="C101" s="1">
        <v>-85000</v>
      </c>
      <c r="D101" s="1">
        <v>472000</v>
      </c>
      <c r="E101" s="1">
        <v>-786000</v>
      </c>
      <c r="F101" s="1">
        <v>-3709000</v>
      </c>
      <c r="G101" s="1">
        <v>-2584000</v>
      </c>
      <c r="H101" s="1">
        <v>-5783000</v>
      </c>
      <c r="I101" s="1">
        <v>4352000</v>
      </c>
      <c r="J101" s="1">
        <v>-14998000</v>
      </c>
      <c r="Q101" s="24" t="s">
        <v>142</v>
      </c>
      <c r="R101" s="38" cm="1">
        <f t="array" ref="R101">_FV(A1,"Market cap",TRUE)</f>
        <v>46141940000</v>
      </c>
    </row>
    <row r="102" spans="1:18" ht="20" x14ac:dyDescent="0.25">
      <c r="A102" s="6" t="s">
        <v>87</v>
      </c>
      <c r="B102" s="10">
        <v>238099000</v>
      </c>
      <c r="C102" s="10">
        <v>171432000</v>
      </c>
      <c r="D102" s="10">
        <v>177749000</v>
      </c>
      <c r="E102" s="10">
        <v>182863000</v>
      </c>
      <c r="F102" s="10">
        <v>368986000</v>
      </c>
      <c r="G102" s="10">
        <v>513472000</v>
      </c>
      <c r="H102" s="10">
        <v>992098000</v>
      </c>
      <c r="I102" s="10">
        <v>1878608000</v>
      </c>
      <c r="J102" s="10">
        <v>1921249000</v>
      </c>
      <c r="Q102" s="32" t="s">
        <v>143</v>
      </c>
      <c r="R102" s="33">
        <f>R101/R103</f>
        <v>0.99561823404818117</v>
      </c>
    </row>
    <row r="103" spans="1:18" ht="20" x14ac:dyDescent="0.25">
      <c r="A103" s="5" t="s">
        <v>88</v>
      </c>
      <c r="B103" s="1">
        <v>92787000</v>
      </c>
      <c r="C103" s="1">
        <v>330886000</v>
      </c>
      <c r="D103" s="1">
        <v>502318000</v>
      </c>
      <c r="E103" s="1">
        <v>680067000</v>
      </c>
      <c r="F103" s="1">
        <v>862930000</v>
      </c>
      <c r="G103" s="1">
        <v>1231916000</v>
      </c>
      <c r="H103" s="1">
        <v>1745388000</v>
      </c>
      <c r="I103" s="1">
        <v>2737486000</v>
      </c>
      <c r="J103" s="1">
        <v>4616094000</v>
      </c>
      <c r="Q103" s="34" t="s">
        <v>144</v>
      </c>
      <c r="R103" s="39">
        <f>R99+R101</f>
        <v>46345013000</v>
      </c>
    </row>
    <row r="104" spans="1:18" ht="20" thickBot="1" x14ac:dyDescent="0.3">
      <c r="A104" s="7" t="s">
        <v>89</v>
      </c>
      <c r="B104" s="11">
        <v>330886000</v>
      </c>
      <c r="C104" s="11">
        <v>502318000</v>
      </c>
      <c r="D104" s="11">
        <v>680067000</v>
      </c>
      <c r="E104" s="11">
        <v>862930000</v>
      </c>
      <c r="F104" s="11">
        <v>1231916000</v>
      </c>
      <c r="G104" s="11">
        <v>1745388000</v>
      </c>
      <c r="H104" s="11">
        <v>2737486000</v>
      </c>
      <c r="I104" s="11">
        <v>4616094000</v>
      </c>
      <c r="J104" s="11">
        <v>6522345000</v>
      </c>
      <c r="Q104" s="65" t="s">
        <v>145</v>
      </c>
      <c r="R104" s="66"/>
    </row>
    <row r="105" spans="1:18" ht="21" thickTop="1" x14ac:dyDescent="0.25">
      <c r="A105" s="14" t="s">
        <v>107</v>
      </c>
      <c r="B105" s="1"/>
      <c r="C105" s="15">
        <f>(C106/B106)-1</f>
        <v>-6.7140415452153546E-2</v>
      </c>
      <c r="D105" s="15">
        <f>(D106/C106)-1</f>
        <v>0.34593571341685925</v>
      </c>
      <c r="E105" s="15">
        <f>(E106/D106)-1</f>
        <v>7.0854444500929148E-2</v>
      </c>
      <c r="F105" s="15">
        <f>(F106/E106)-1</f>
        <v>0.95268035636106618</v>
      </c>
      <c r="G105" s="15">
        <f t="shared" ref="G105:J105" si="20">(G106/F106)-1</f>
        <v>0.37629087372871051</v>
      </c>
      <c r="H105" s="15">
        <f t="shared" si="20"/>
        <v>0.95242945970135184</v>
      </c>
      <c r="I105" s="15">
        <f t="shared" si="20"/>
        <v>0.77511045433297654</v>
      </c>
      <c r="J105" s="15">
        <f t="shared" si="20"/>
        <v>0.13206478649903719</v>
      </c>
      <c r="K105" s="15"/>
      <c r="L105" s="15"/>
      <c r="M105" s="15"/>
      <c r="N105" s="15"/>
      <c r="O105" s="15"/>
      <c r="P105" s="15"/>
      <c r="Q105" s="26" t="s">
        <v>108</v>
      </c>
      <c r="R105" s="27">
        <f>(R100*R92)+(R102*R97)</f>
        <v>9.7979463748592885E-2</v>
      </c>
    </row>
    <row r="106" spans="1:18" ht="19" x14ac:dyDescent="0.25">
      <c r="A106" s="5" t="s">
        <v>90</v>
      </c>
      <c r="B106" s="1">
        <v>141003000</v>
      </c>
      <c r="C106" s="1">
        <v>131536000</v>
      </c>
      <c r="D106" s="1">
        <v>177039000</v>
      </c>
      <c r="E106" s="1">
        <v>189583000</v>
      </c>
      <c r="F106" s="1">
        <v>370195000</v>
      </c>
      <c r="G106" s="1">
        <v>509496000</v>
      </c>
      <c r="H106" s="1">
        <v>994755000</v>
      </c>
      <c r="I106" s="1">
        <v>1765800000</v>
      </c>
      <c r="J106" s="1">
        <v>1999000000</v>
      </c>
      <c r="K106" s="40">
        <f>J106*(1+$R$106)</f>
        <v>2428616411.9150991</v>
      </c>
      <c r="L106" s="40">
        <f t="shared" ref="L106:O106" si="21">K106*(1+$R$106)</f>
        <v>2950564120.171771</v>
      </c>
      <c r="M106" s="40">
        <f t="shared" si="21"/>
        <v>3584686566.611805</v>
      </c>
      <c r="N106" s="40">
        <f t="shared" si="21"/>
        <v>4355091859.5522852</v>
      </c>
      <c r="O106" s="40">
        <f t="shared" si="21"/>
        <v>5291069317.4119701</v>
      </c>
      <c r="P106" s="41" t="s">
        <v>146</v>
      </c>
      <c r="Q106" s="42" t="s">
        <v>147</v>
      </c>
      <c r="R106" s="43">
        <f>(SUM(K4:O4)/5)</f>
        <v>0.21491566378944435</v>
      </c>
    </row>
    <row r="107" spans="1:18" ht="19" x14ac:dyDescent="0.25">
      <c r="A107" s="5"/>
      <c r="B107" s="13"/>
      <c r="C107" s="13"/>
      <c r="D107" s="13"/>
      <c r="E107" s="13"/>
      <c r="F107" s="13"/>
      <c r="G107" s="13"/>
      <c r="H107" s="13"/>
      <c r="I107" s="13"/>
      <c r="J107" s="13"/>
      <c r="K107" s="41"/>
      <c r="L107" s="41"/>
      <c r="M107" s="41"/>
      <c r="N107" s="41"/>
      <c r="O107" s="44">
        <f>O106*(1+R107)/(R108-R107)</f>
        <v>74313317360.486053</v>
      </c>
      <c r="P107" s="45" t="s">
        <v>148</v>
      </c>
      <c r="Q107" s="46" t="s">
        <v>149</v>
      </c>
      <c r="R107" s="47">
        <v>2.5000000000000001E-2</v>
      </c>
    </row>
    <row r="108" spans="1:18" ht="19" x14ac:dyDescent="0.25">
      <c r="K108" s="44">
        <f t="shared" ref="K108:M108" si="22">K107+K106</f>
        <v>2428616411.9150991</v>
      </c>
      <c r="L108" s="44">
        <f t="shared" si="22"/>
        <v>2950564120.171771</v>
      </c>
      <c r="M108" s="44">
        <f t="shared" si="22"/>
        <v>3584686566.611805</v>
      </c>
      <c r="N108" s="44">
        <f>N107+N106</f>
        <v>4355091859.5522852</v>
      </c>
      <c r="O108" s="44">
        <f>O107+O106</f>
        <v>79604386677.898026</v>
      </c>
      <c r="P108" s="45" t="s">
        <v>144</v>
      </c>
      <c r="Q108" s="48" t="s">
        <v>150</v>
      </c>
      <c r="R108" s="49">
        <f>R105</f>
        <v>9.7979463748592885E-2</v>
      </c>
    </row>
    <row r="109" spans="1:18" ht="19" x14ac:dyDescent="0.25">
      <c r="K109" s="61" t="s">
        <v>151</v>
      </c>
      <c r="L109" s="62"/>
    </row>
    <row r="110" spans="1:18" ht="20" x14ac:dyDescent="0.25">
      <c r="K110" s="50" t="s">
        <v>152</v>
      </c>
      <c r="L110" s="38">
        <f>NPV(R108,K108,L108,M108,N108,O108)</f>
        <v>60248561654.923302</v>
      </c>
    </row>
    <row r="111" spans="1:18" ht="20" x14ac:dyDescent="0.25">
      <c r="K111" s="50" t="s">
        <v>153</v>
      </c>
      <c r="L111" s="38">
        <f>J40</f>
        <v>5964798000</v>
      </c>
    </row>
    <row r="112" spans="1:18" ht="20" x14ac:dyDescent="0.25">
      <c r="K112" s="50" t="s">
        <v>140</v>
      </c>
      <c r="L112" s="38">
        <f>R99</f>
        <v>203073000</v>
      </c>
    </row>
    <row r="113" spans="11:12" ht="20" x14ac:dyDescent="0.25">
      <c r="K113" s="50" t="s">
        <v>154</v>
      </c>
      <c r="L113" s="38">
        <f>L110+L111-L112</f>
        <v>66010286654.923302</v>
      </c>
    </row>
    <row r="114" spans="11:12" ht="20" x14ac:dyDescent="0.25">
      <c r="K114" s="50" t="s">
        <v>155</v>
      </c>
      <c r="L114" s="51">
        <f>J34*(1+(5*P16))</f>
        <v>31444645.352630943</v>
      </c>
    </row>
    <row r="115" spans="11:12" ht="20" x14ac:dyDescent="0.25">
      <c r="K115" s="52" t="s">
        <v>156</v>
      </c>
      <c r="L115" s="53">
        <f>L113/L114</f>
        <v>2099.2536539897815</v>
      </c>
    </row>
    <row r="116" spans="11:12" ht="20" x14ac:dyDescent="0.25">
      <c r="K116" s="50" t="s">
        <v>157</v>
      </c>
      <c r="L116" s="54" cm="1">
        <f t="array" ref="L116">_FV(A1,"Price")</f>
        <v>1495</v>
      </c>
    </row>
    <row r="117" spans="11:12" ht="20" x14ac:dyDescent="0.25">
      <c r="K117" s="55" t="s">
        <v>158</v>
      </c>
      <c r="L117" s="56">
        <f>L115/L116-1</f>
        <v>0.40418304614701106</v>
      </c>
    </row>
    <row r="118" spans="11:12" ht="20" x14ac:dyDescent="0.25">
      <c r="K118" s="55" t="s">
        <v>159</v>
      </c>
      <c r="L118" s="57" t="str">
        <f>IF(L115&gt;L116,"BUY","SELL")</f>
        <v>BUY</v>
      </c>
    </row>
  </sheetData>
  <mergeCells count="6">
    <mergeCell ref="K109:L109"/>
    <mergeCell ref="Q83:R83"/>
    <mergeCell ref="Q84:R84"/>
    <mergeCell ref="Q93:R93"/>
    <mergeCell ref="Q98:R98"/>
    <mergeCell ref="Q104:R104"/>
  </mergeCells>
  <hyperlinks>
    <hyperlink ref="A1" r:id="rId1" tooltip="https://roic.ai/company/ADYEN.AS" display="ROIC.AI | ADYEN.A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55CACCD9-52D9-E54B-BB47-F0004C13DCB7}"/>
    <hyperlink ref="J74" r:id="rId19" tooltip="https://sec.gov" xr:uid="{021651E5-B64B-6B4D-AEE7-3D1CDABACF0D}"/>
    <hyperlink ref="K1" r:id="rId20" display="https://finbox.com/ENXTAM:ADYEN/explorer/total_rev" xr:uid="{A2CAAA8B-B36F-3E4E-9B1A-027FF9D13D05}"/>
  </hyperlinks>
  <pageMargins left="0.7" right="0.7" top="0.75" bottom="0.75" header="0.3" footer="0.3"/>
  <drawing r:id="rId2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2023-03-14T03:06:16Z</dcterms:created>
  <dcterms:modified xsi:type="dcterms:W3CDTF">2023-05-26T09:42:34Z</dcterms:modified>
</cp:coreProperties>
</file>