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99587A3-2827-2644-B76F-2D7CA50A755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6" i="1" l="1" a="1"/>
  <c r="M116" i="1" s="1"/>
  <c r="S101" i="1" a="1"/>
  <c r="S101" i="1" s="1"/>
  <c r="S95" i="1" a="1"/>
  <c r="S95" i="1" s="1"/>
  <c r="S97" i="1" s="1"/>
  <c r="M111" i="1"/>
  <c r="S90" i="1"/>
  <c r="S89" i="1"/>
  <c r="S91" i="1"/>
  <c r="S87" i="1"/>
  <c r="S86" i="1"/>
  <c r="S99" i="1"/>
  <c r="S85" i="1"/>
  <c r="S88" i="1"/>
  <c r="Q19" i="1"/>
  <c r="Q16" i="1"/>
  <c r="M114" i="1"/>
  <c r="T13" i="1"/>
  <c r="S13" i="1"/>
  <c r="R13" i="1"/>
  <c r="Q13" i="1"/>
  <c r="T10" i="1"/>
  <c r="S10" i="1"/>
  <c r="R10" i="1"/>
  <c r="Q10" i="1"/>
  <c r="T7" i="1"/>
  <c r="S7" i="1"/>
  <c r="R7" i="1"/>
  <c r="Q7" i="1"/>
  <c r="T4" i="1"/>
  <c r="S4" i="1"/>
  <c r="R4" i="1"/>
  <c r="Q4" i="1"/>
  <c r="P4" i="1"/>
  <c r="O4" i="1"/>
  <c r="N4" i="1"/>
  <c r="M4" i="1"/>
  <c r="L4" i="1"/>
  <c r="K105" i="1"/>
  <c r="J105" i="1"/>
  <c r="I105" i="1"/>
  <c r="H105" i="1"/>
  <c r="G105" i="1"/>
  <c r="F105" i="1"/>
  <c r="E105" i="1"/>
  <c r="D105" i="1"/>
  <c r="C105"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H4" i="1"/>
  <c r="G4" i="1"/>
  <c r="F4" i="1"/>
  <c r="E4" i="1"/>
  <c r="D4" i="1"/>
  <c r="C4" i="1"/>
  <c r="S92" i="1"/>
  <c r="M112" i="1"/>
  <c r="S106" i="1" l="1"/>
  <c r="L106" i="1" s="1"/>
  <c r="M106" i="1"/>
  <c r="L108" i="1"/>
  <c r="S16" i="1"/>
  <c r="T16" i="1"/>
  <c r="R16" i="1"/>
  <c r="S103" i="1"/>
  <c r="S100" i="1" s="1"/>
  <c r="N106" i="1" l="1"/>
  <c r="M108" i="1"/>
  <c r="S102" i="1"/>
  <c r="S105" i="1" s="1"/>
  <c r="S108" i="1" s="1"/>
  <c r="O106" i="1" l="1"/>
  <c r="N108" i="1"/>
  <c r="O108" i="1" l="1"/>
  <c r="P106" i="1"/>
  <c r="P107" i="1" s="1"/>
  <c r="P108" i="1" s="1"/>
  <c r="M110" i="1" s="1"/>
  <c r="M113" i="1" s="1"/>
  <c r="M115" i="1" s="1"/>
  <c r="M118" i="1" s="1"/>
  <c r="M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<sst xmlns="http://schemas.openxmlformats.org/spreadsheetml/2006/main" count="362" uniqueCount="160">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</sst>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TEAM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930693069306931E-2"/>
          <c:y val="0.10408032402793199"/>
          <c:w val="0.86958415841584158"/>
          <c:h val="0.7948476459912050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148512000</c:v>
                </c:pt>
                <c:pt idx="1">
                  <c:v>215109000</c:v>
                </c:pt>
                <c:pt idx="2">
                  <c:v>319521000</c:v>
                </c:pt>
                <c:pt idx="3">
                  <c:v>457058000</c:v>
                </c:pt>
                <c:pt idx="4">
                  <c:v>619936000</c:v>
                </c:pt>
                <c:pt idx="5">
                  <c:v>873950000</c:v>
                </c:pt>
                <c:pt idx="6">
                  <c:v>1210127000</c:v>
                </c:pt>
                <c:pt idx="7">
                  <c:v>1614173000</c:v>
                </c:pt>
                <c:pt idx="8">
                  <c:v>2089132000</c:v>
                </c:pt>
                <c:pt idx="9">
                  <c:v>2802882000</c:v>
                </c:pt>
              </c:numCache>
            </c:numRef>
          </c:val>
          <c:extLst>
            <c:ext xmlns:c16="http://schemas.microsoft.com/office/drawing/2014/chart" uri="{C3380CC4-5D6E-409C-BE32-E72D297353CC}">
              <c16:uniqueId val="{00000000-D888-2449-88BB-F319BF25DCA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23735000</c:v>
                </c:pt>
                <c:pt idx="1">
                  <c:v>35772000</c:v>
                </c:pt>
                <c:pt idx="2">
                  <c:v>14836000</c:v>
                </c:pt>
                <c:pt idx="3">
                  <c:v>17090000</c:v>
                </c:pt>
                <c:pt idx="4">
                  <c:v>1969000</c:v>
                </c:pt>
                <c:pt idx="5">
                  <c:v>20407000</c:v>
                </c:pt>
                <c:pt idx="6">
                  <c:v>-495067000</c:v>
                </c:pt>
                <c:pt idx="7">
                  <c:v>-199201000</c:v>
                </c:pt>
                <c:pt idx="8">
                  <c:v>-419103000</c:v>
                </c:pt>
                <c:pt idx="9">
                  <c:v>-444790000</c:v>
                </c:pt>
              </c:numCache>
            </c:numRef>
          </c:val>
          <c:extLst>
            <c:ext xmlns:c16="http://schemas.microsoft.com/office/drawing/2014/chart" uri="{C3380CC4-5D6E-409C-BE32-E72D297353CC}">
              <c16:uniqueId val="{00000001-D888-2449-88BB-F319BF25DCA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47064000</c:v>
                </c:pt>
                <c:pt idx="1">
                  <c:v>65021000</c:v>
                </c:pt>
                <c:pt idx="2">
                  <c:v>65545000</c:v>
                </c:pt>
                <c:pt idx="3">
                  <c:v>95329000</c:v>
                </c:pt>
                <c:pt idx="4">
                  <c:v>183327000</c:v>
                </c:pt>
                <c:pt idx="5">
                  <c:v>281247000</c:v>
                </c:pt>
                <c:pt idx="6">
                  <c:v>420040000</c:v>
                </c:pt>
                <c:pt idx="7">
                  <c:v>538501000</c:v>
                </c:pt>
                <c:pt idx="8">
                  <c:v>808010000</c:v>
                </c:pt>
                <c:pt idx="9">
                  <c:v>808895000</c:v>
                </c:pt>
              </c:numCache>
            </c:numRef>
          </c:val>
          <c:extLst>
            <c:ext xmlns:c16="http://schemas.microsoft.com/office/drawing/2014/chart" uri="{C3380CC4-5D6E-409C-BE32-E72D297353CC}">
              <c16:uniqueId val="{00000002-D888-2449-88BB-F319BF25DCAE}"/>
            </c:ext>
          </c:extLst>
        </c:ser>
        <c:dLbls>
          <c:showLegendKey val="0"/>
          <c:showVal val="0"/>
          <c:showCatName val="0"/>
          <c:showSerName val="0"/>
          <c:showPercent val="0"/>
          <c:showBubbleSize val="0"/>
        </c:dLbls>
        <c:gapWidth val="100"/>
        <c:overlap val="-24"/>
        <c:axId val="1061284975"/>
        <c:axId val="1061286975"/>
      </c:barChart>
      <c:catAx>
        <c:axId val="10612849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61286975"/>
        <c:crosses val="autoZero"/>
        <c:auto val="1"/>
        <c:lblAlgn val="ctr"/>
        <c:lblOffset val="100"/>
        <c:noMultiLvlLbl val="0"/>
      </c:catAx>
      <c:valAx>
        <c:axId val="1061286975"/>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61284975"/>
        <c:crosses val="autoZero"/>
        <c:crossBetween val="between"/>
      </c:valAx>
      <c:spPr>
        <a:noFill/>
        <a:ln>
          <a:noFill/>
        </a:ln>
        <a:effectLst/>
      </c:spPr>
    </c:plotArea>
    <c:legend>
      <c:legendPos val="b"/>
      <c:layout>
        <c:manualLayout>
          <c:xMode val="edge"/>
          <c:yMode val="edge"/>
          <c:x val="0.34872316207998755"/>
          <c:y val="0.92716071405712053"/>
          <c:w val="0.30255367584002496"/>
          <c:h val="4.32800330239032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31750</xdr:colOff>
      <xdr:row>108</xdr:row>
      <xdr:rowOff>17462</xdr:rowOff>
    </xdr:from>
    <xdr:to>
      <xdr:col>19</xdr:col>
      <xdr:colOff>31750</xdr:colOff>
      <xdr:row>134</xdr:row>
      <xdr:rowOff>206374</xdr:rowOff>
    </xdr:to>
    <xdr:graphicFrame macro="">
      <xdr:nvGraphicFramePr>
        <xdr:cNvPr id="2" name="Chart 1">
          <a:extLst>
            <a:ext uri="{FF2B5EF4-FFF2-40B4-BE49-F238E27FC236}">
              <a16:creationId xmlns:a16="http://schemas.microsoft.com/office/drawing/2014/main" id="{93B371F7-71A4-F3E5-190E-A78CC7E2C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https://www.bing.com/financeapi/forcetrigger?t=a243h7&amp;q=XNAS%3aTEAM&amp;form=skydnc</v>
    <v>Learn more on Bing</v>
  </rv>
  <rv s="1">
    <v>0</v>
    <v>ATLASSIAN CORPORATION (XNAS:TEAM)</v>
    <v>2</v>
    <v>3</v>
    <v>Finance</v>
    <v>4</v>
    <v>en-US</v>
    <v>a243h7</v>
    <v>268435456</v>
    <v>1</v>
    <v>Powered by Refinitiv</v>
    <v>300.29000000000002</v>
    <v>113.855</v>
    <v>0.8125</v>
    <v>-1.0900000000000001</v>
    <v>-7.3609999999999995E-3</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147.66999999999999</v>
    <v>Software &amp; IT Services</v>
    <v>Stock</v>
    <v>45065.99554369141</v>
    <v>0</v>
    <v>144.59</v>
    <v>37777490000</v>
    <v>ATLASSIAN CORPORATION</v>
    <v>ATLASSIAN CORPORATION</v>
    <v>147.33000000000001</v>
    <v>148.08000000000001</v>
    <v>146.99</v>
    <v>257007200</v>
    <v>TEAM</v>
    <v>ATLASSIAN CORPORATION (XNAS:TEAM)</v>
    <v>10</v>
    <v>2138826</v>
    <v>2022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372/000165037216000018/0001650372-16-000018-index.html" TargetMode="External"/><Relationship Id="rId13" Type="http://schemas.openxmlformats.org/officeDocument/2006/relationships/hyperlink" Target="https://www.sec.gov/Archives/edgar/data/1650372/000165037219000020/a20-f06302019.htm" TargetMode="External"/><Relationship Id="rId18"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finbox.com/NASDAQGS:TEAM/explorer/revenue_proj" TargetMode="External"/><Relationship Id="rId7" Type="http://schemas.openxmlformats.org/officeDocument/2006/relationships/hyperlink" Target="https://www.sec.gov/Archives/edgar/data/1650372/000165037216000018/0001650372-16-000018-index.html" TargetMode="External"/><Relationship Id="rId12" Type="http://schemas.openxmlformats.org/officeDocument/2006/relationships/hyperlink" Target="https://www.sec.gov/Archives/edgar/data/1650372/000165037218000038/0001650372-18-000038-index.html"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50372/000165037220000030/0001650372-20-000030-index.htm" TargetMode="External"/><Relationship Id="rId20"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50372/000165037218000038/0001650372-18-000038-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50372/000165037220000030/0001650372-20-000030-index.htm" TargetMode="External"/><Relationship Id="rId10" Type="http://schemas.openxmlformats.org/officeDocument/2006/relationships/hyperlink" Target="https://www.sec.gov/Archives/edgar/data/1650372/000165037217000022/0001650372-17-000022-index.html"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372/000165037217000022/0001650372-17-000022-index.html" TargetMode="External"/><Relationship Id="rId14" Type="http://schemas.openxmlformats.org/officeDocument/2006/relationships/hyperlink" Target="https://www.sec.gov/Archives/edgar/data/1650372/000165037219000020/a20-f06302019.htm"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8"/>
  <sheetViews>
    <sheetView tabSelected="1" zoomScale="80" zoomScaleNormal="80" workbookViewId="0">
      <pane xSplit="1" ySplit="1" topLeftCell="I87" activePane="bottomRight" state="frozen"/>
      <selection pane="topRight"/>
      <selection pane="bottomLeft"/>
      <selection pane="bottomRight" activeCell="M99" sqref="M99"/>
    </sheetView>
  </sheetViews>
  <sheetFormatPr baseColWidth="10" defaultRowHeight="16" x14ac:dyDescent="0.2"/>
  <cols>
    <col min="1" max="1" width="50" customWidth="1"/>
    <col min="2" max="11" width="15" customWidth="1"/>
    <col min="12" max="20" width="21" customWidth="1"/>
  </cols>
  <sheetData>
    <row r="1" spans="1:20" ht="22" thickBot="1" x14ac:dyDescent="0.3">
      <c r="A1" s="3" t="e" vm="1">
        <v>#VALUE!</v>
      </c>
      <c r="B1" s="8">
        <v>2013</v>
      </c>
      <c r="C1" s="8">
        <v>2014</v>
      </c>
      <c r="D1" s="8">
        <v>2015</v>
      </c>
      <c r="E1" s="8">
        <v>2016</v>
      </c>
      <c r="F1" s="8">
        <v>2017</v>
      </c>
      <c r="G1" s="8">
        <v>2018</v>
      </c>
      <c r="H1" s="8">
        <v>2019</v>
      </c>
      <c r="I1" s="8">
        <v>2020</v>
      </c>
      <c r="J1" s="8">
        <v>2021</v>
      </c>
      <c r="K1" s="8">
        <v>2022</v>
      </c>
      <c r="L1" s="27">
        <v>2023</v>
      </c>
      <c r="M1" s="27">
        <v>2024</v>
      </c>
      <c r="N1" s="27">
        <v>2025</v>
      </c>
      <c r="O1" s="27">
        <v>2026</v>
      </c>
      <c r="P1" s="27">
        <v>2027</v>
      </c>
    </row>
    <row r="2" spans="1:2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c r="P2" s="9"/>
      <c r="Q2" s="9"/>
      <c r="R2" s="9"/>
      <c r="S2" s="9"/>
      <c r="T2" s="9"/>
    </row>
    <row r="3" spans="1:20" ht="40" x14ac:dyDescent="0.25">
      <c r="A3" s="5" t="s">
        <v>1</v>
      </c>
      <c r="B3" s="1">
        <v>148512000</v>
      </c>
      <c r="C3" s="1">
        <v>215109000</v>
      </c>
      <c r="D3" s="1">
        <v>319521000</v>
      </c>
      <c r="E3" s="1">
        <v>457058000</v>
      </c>
      <c r="F3" s="1">
        <v>619936000</v>
      </c>
      <c r="G3" s="1">
        <v>873950000</v>
      </c>
      <c r="H3" s="1">
        <v>1210127000</v>
      </c>
      <c r="I3" s="1">
        <v>1614173000</v>
      </c>
      <c r="J3" s="1">
        <v>2089132000</v>
      </c>
      <c r="K3" s="1">
        <v>2802882000</v>
      </c>
      <c r="L3" s="28">
        <v>3497000000</v>
      </c>
      <c r="M3" s="28">
        <v>4219000000</v>
      </c>
      <c r="N3" s="28">
        <v>5353000000</v>
      </c>
      <c r="O3" s="28">
        <v>6827000000</v>
      </c>
      <c r="P3" s="28">
        <v>8228000000</v>
      </c>
      <c r="Q3" s="18" t="s">
        <v>109</v>
      </c>
      <c r="R3" s="19" t="s">
        <v>110</v>
      </c>
      <c r="S3" s="19" t="s">
        <v>111</v>
      </c>
      <c r="T3" s="19" t="s">
        <v>112</v>
      </c>
    </row>
    <row r="4" spans="1:20" ht="19" x14ac:dyDescent="0.25">
      <c r="A4" s="14" t="s">
        <v>94</v>
      </c>
      <c r="B4" s="1"/>
      <c r="C4" s="15">
        <f>(C3/B3)-1</f>
        <v>0.44842840982546872</v>
      </c>
      <c r="D4" s="15">
        <f>(D3/C3)-1</f>
        <v>0.48539112728895573</v>
      </c>
      <c r="E4" s="15">
        <f>(E3/D3)-1</f>
        <v>0.43044745102825788</v>
      </c>
      <c r="F4" s="15">
        <f t="shared" ref="F4:P4" si="0">(F3/E3)-1</f>
        <v>0.35636177465442032</v>
      </c>
      <c r="G4" s="15">
        <f t="shared" si="0"/>
        <v>0.40974229597893985</v>
      </c>
      <c r="H4" s="16">
        <f t="shared" si="0"/>
        <v>0.38466388237313343</v>
      </c>
      <c r="I4" s="16">
        <f t="shared" si="0"/>
        <v>0.33388726968326465</v>
      </c>
      <c r="J4" s="16">
        <f t="shared" si="0"/>
        <v>0.29424293430753701</v>
      </c>
      <c r="K4" s="16">
        <f t="shared" si="0"/>
        <v>0.34164906765106284</v>
      </c>
      <c r="L4" s="16">
        <f t="shared" si="0"/>
        <v>0.24764438888258589</v>
      </c>
      <c r="M4" s="16">
        <f t="shared" si="0"/>
        <v>0.20646268229911358</v>
      </c>
      <c r="N4" s="16">
        <f t="shared" si="0"/>
        <v>0.26878407205498944</v>
      </c>
      <c r="O4" s="16">
        <f t="shared" si="0"/>
        <v>0.27535961143284138</v>
      </c>
      <c r="P4" s="16">
        <f t="shared" si="0"/>
        <v>0.20521458913139012</v>
      </c>
      <c r="Q4" s="17">
        <f>(K4+J4+I4)/3</f>
        <v>0.32325975721395483</v>
      </c>
      <c r="R4" s="17">
        <f>(K20+J20+I20)/3</f>
        <v>0.18919412795489507</v>
      </c>
      <c r="S4" s="17">
        <f>(K29+J29+I29)/3</f>
        <v>0.13922163548016184</v>
      </c>
      <c r="T4" s="17">
        <f>(K105+J105+I105)/3</f>
        <v>0.26119948679208588</v>
      </c>
    </row>
    <row r="5" spans="1:20" ht="19" x14ac:dyDescent="0.25">
      <c r="A5" s="5" t="s">
        <v>2</v>
      </c>
      <c r="B5" s="1">
        <v>33031000</v>
      </c>
      <c r="C5" s="1">
        <v>37986000</v>
      </c>
      <c r="D5" s="1">
        <v>52932000</v>
      </c>
      <c r="E5" s="1">
        <v>75783000</v>
      </c>
      <c r="F5" s="1">
        <v>119161000</v>
      </c>
      <c r="G5" s="1">
        <v>172690000</v>
      </c>
      <c r="H5" s="1">
        <v>210285000</v>
      </c>
      <c r="I5" s="1">
        <v>268807000</v>
      </c>
      <c r="J5" s="1">
        <v>336021000</v>
      </c>
      <c r="K5" s="1">
        <v>465707000</v>
      </c>
    </row>
    <row r="6" spans="1:20" ht="20" x14ac:dyDescent="0.25">
      <c r="A6" s="6" t="s">
        <v>3</v>
      </c>
      <c r="B6" s="10">
        <v>115481000</v>
      </c>
      <c r="C6" s="10">
        <v>177123000</v>
      </c>
      <c r="D6" s="10">
        <v>266589000</v>
      </c>
      <c r="E6" s="10">
        <v>381275000</v>
      </c>
      <c r="F6" s="10">
        <v>500775000</v>
      </c>
      <c r="G6" s="10">
        <v>701260000</v>
      </c>
      <c r="H6" s="10">
        <v>999842000</v>
      </c>
      <c r="I6" s="10">
        <v>1345366000</v>
      </c>
      <c r="J6" s="10">
        <v>1753111000</v>
      </c>
      <c r="K6" s="10">
        <v>2337175000</v>
      </c>
      <c r="Q6" s="18" t="s">
        <v>113</v>
      </c>
      <c r="R6" s="19" t="s">
        <v>114</v>
      </c>
      <c r="S6" s="19" t="s">
        <v>115</v>
      </c>
      <c r="T6" s="19" t="s">
        <v>116</v>
      </c>
    </row>
    <row r="7" spans="1:20" ht="19" x14ac:dyDescent="0.25">
      <c r="A7" s="5" t="s">
        <v>4</v>
      </c>
      <c r="B7" s="2">
        <v>0.77759999999999996</v>
      </c>
      <c r="C7" s="2">
        <v>0.82340000000000002</v>
      </c>
      <c r="D7" s="2">
        <v>0.83430000000000004</v>
      </c>
      <c r="E7" s="2">
        <v>0.83420000000000005</v>
      </c>
      <c r="F7" s="2">
        <v>0.80779999999999996</v>
      </c>
      <c r="G7" s="2">
        <v>0.8024</v>
      </c>
      <c r="H7" s="2">
        <v>0.82620000000000005</v>
      </c>
      <c r="I7" s="2">
        <v>0.83350000000000002</v>
      </c>
      <c r="J7" s="2">
        <v>0.83919999999999995</v>
      </c>
      <c r="K7" s="2">
        <v>0.83379999999999999</v>
      </c>
      <c r="Q7" s="17">
        <f>K7</f>
        <v>0.83379999999999999</v>
      </c>
      <c r="R7" s="20">
        <f>K21</f>
        <v>-0.15870000000000001</v>
      </c>
      <c r="S7" s="20">
        <f>K30</f>
        <v>-0.21909999999999999</v>
      </c>
      <c r="T7" s="20">
        <f>K106/K3</f>
        <v>0.28859402572066895</v>
      </c>
    </row>
    <row r="8" spans="1:20" ht="19" x14ac:dyDescent="0.25">
      <c r="A8" s="5" t="s">
        <v>5</v>
      </c>
      <c r="B8" s="1">
        <v>57301000</v>
      </c>
      <c r="C8" s="1">
        <v>78640000</v>
      </c>
      <c r="D8" s="1">
        <v>140853000</v>
      </c>
      <c r="E8" s="1">
        <v>208306000</v>
      </c>
      <c r="F8" s="1">
        <v>310168000</v>
      </c>
      <c r="G8" s="1">
        <v>415776000</v>
      </c>
      <c r="H8" s="1">
        <v>579134000</v>
      </c>
      <c r="I8" s="1">
        <v>763188000</v>
      </c>
      <c r="J8" s="1">
        <v>963326000</v>
      </c>
      <c r="K8" s="1">
        <v>1397568000</v>
      </c>
    </row>
    <row r="9" spans="1:20" ht="19" customHeight="1" x14ac:dyDescent="0.25">
      <c r="A9" s="14" t="s">
        <v>95</v>
      </c>
      <c r="B9" s="15">
        <f>B8/B3</f>
        <v>0.38583414134884725</v>
      </c>
      <c r="C9" s="15">
        <f t="shared" ref="C9:K9" si="1">C8/C3</f>
        <v>0.365582100237554</v>
      </c>
      <c r="D9" s="15">
        <f t="shared" si="1"/>
        <v>0.44082548564883062</v>
      </c>
      <c r="E9" s="15">
        <f t="shared" si="1"/>
        <v>0.45575397433148529</v>
      </c>
      <c r="F9" s="15">
        <f t="shared" si="1"/>
        <v>0.5003226139472462</v>
      </c>
      <c r="G9" s="15">
        <f t="shared" si="1"/>
        <v>0.47574346358487329</v>
      </c>
      <c r="H9" s="15">
        <f t="shared" si="1"/>
        <v>0.47857291011604569</v>
      </c>
      <c r="I9" s="15">
        <f t="shared" si="1"/>
        <v>0.47280434005524813</v>
      </c>
      <c r="J9" s="15">
        <f t="shared" si="1"/>
        <v>0.46111303641895296</v>
      </c>
      <c r="K9" s="15">
        <f t="shared" si="1"/>
        <v>0.49861820797307915</v>
      </c>
      <c r="Q9" s="18" t="s">
        <v>96</v>
      </c>
      <c r="R9" s="19" t="s">
        <v>97</v>
      </c>
      <c r="S9" s="19" t="s">
        <v>98</v>
      </c>
      <c r="T9" s="19" t="s">
        <v>99</v>
      </c>
    </row>
    <row r="10" spans="1:20" ht="19" x14ac:dyDescent="0.25">
      <c r="A10" s="5" t="s">
        <v>6</v>
      </c>
      <c r="B10" s="1">
        <v>26266000</v>
      </c>
      <c r="C10" s="1">
        <v>40814000</v>
      </c>
      <c r="D10" s="1">
        <v>57330000</v>
      </c>
      <c r="E10" s="1">
        <v>85458000</v>
      </c>
      <c r="F10" s="1">
        <v>118785000</v>
      </c>
      <c r="G10" s="1">
        <v>151242000</v>
      </c>
      <c r="H10" s="1">
        <v>215714000</v>
      </c>
      <c r="I10" s="1">
        <v>268409000</v>
      </c>
      <c r="J10" s="1">
        <v>315242000</v>
      </c>
      <c r="K10" s="1">
        <v>478373000</v>
      </c>
      <c r="Q10" s="17">
        <f>K9</f>
        <v>0.49861820797307915</v>
      </c>
      <c r="R10" s="20">
        <f>K13</f>
        <v>0.37321014584274331</v>
      </c>
      <c r="S10" s="20">
        <f>K80</f>
        <v>0.25227141206800713</v>
      </c>
      <c r="T10" s="20">
        <f>K89</f>
        <v>2.5182294509722494E-2</v>
      </c>
    </row>
    <row r="11" spans="1:20" ht="19" x14ac:dyDescent="0.25">
      <c r="A11" s="5" t="s">
        <v>7</v>
      </c>
      <c r="B11" s="1">
        <v>18795000</v>
      </c>
      <c r="C11" s="1">
        <v>34968000</v>
      </c>
      <c r="D11" s="1">
        <v>67989000</v>
      </c>
      <c r="E11" s="1">
        <v>93391000</v>
      </c>
      <c r="F11" s="1">
        <v>134908000</v>
      </c>
      <c r="G11" s="1">
        <v>187990000</v>
      </c>
      <c r="H11" s="1">
        <v>268356000</v>
      </c>
      <c r="I11" s="1">
        <v>299683000</v>
      </c>
      <c r="J11" s="1">
        <v>372909000</v>
      </c>
      <c r="K11" s="1">
        <v>567691000</v>
      </c>
    </row>
    <row r="12" spans="1:20" ht="20" x14ac:dyDescent="0.25">
      <c r="A12" s="5" t="s">
        <v>8</v>
      </c>
      <c r="B12" s="1">
        <v>45061000</v>
      </c>
      <c r="C12" s="1">
        <v>75782000</v>
      </c>
      <c r="D12" s="1">
        <v>125319000</v>
      </c>
      <c r="E12" s="1">
        <v>178849000</v>
      </c>
      <c r="F12" s="1">
        <v>253693000</v>
      </c>
      <c r="G12" s="1">
        <v>339232000</v>
      </c>
      <c r="H12" s="1">
        <v>484070000</v>
      </c>
      <c r="I12" s="1">
        <v>568092000</v>
      </c>
      <c r="J12" s="1">
        <v>688151000</v>
      </c>
      <c r="K12" s="1">
        <v>1046064000</v>
      </c>
      <c r="Q12" s="18" t="s">
        <v>117</v>
      </c>
      <c r="R12" s="19" t="s">
        <v>118</v>
      </c>
      <c r="S12" s="19" t="s">
        <v>119</v>
      </c>
      <c r="T12" s="19" t="s">
        <v>120</v>
      </c>
    </row>
    <row r="13" spans="1:20" ht="19" x14ac:dyDescent="0.25">
      <c r="A13" s="14" t="s">
        <v>100</v>
      </c>
      <c r="B13" s="15">
        <f>B12/B3</f>
        <v>0.30341655893126479</v>
      </c>
      <c r="C13" s="15">
        <f t="shared" ref="C13:K13" si="2">C12/C3</f>
        <v>0.35229581282047706</v>
      </c>
      <c r="D13" s="15">
        <f t="shared" si="2"/>
        <v>0.39220896279117806</v>
      </c>
      <c r="E13" s="15">
        <f t="shared" si="2"/>
        <v>0.39130482345785439</v>
      </c>
      <c r="F13" s="15">
        <f t="shared" si="2"/>
        <v>0.40922450059360965</v>
      </c>
      <c r="G13" s="15">
        <f t="shared" si="2"/>
        <v>0.38815950569254531</v>
      </c>
      <c r="H13" s="15">
        <f t="shared" si="2"/>
        <v>0.4000158661033098</v>
      </c>
      <c r="I13" s="15">
        <f t="shared" si="2"/>
        <v>0.35193997173784963</v>
      </c>
      <c r="J13" s="15">
        <f t="shared" si="2"/>
        <v>0.32939565331439086</v>
      </c>
      <c r="K13" s="15">
        <f t="shared" si="2"/>
        <v>0.37321014584274331</v>
      </c>
      <c r="Q13" s="17">
        <f>K28/K72</f>
        <v>-1.8299121283182809</v>
      </c>
      <c r="R13" s="20">
        <f>K28/K54</f>
        <v>-0.18270942036876051</v>
      </c>
      <c r="S13" s="20">
        <f>K22/(K72+K56+K61)</f>
        <v>-6.45157184984613E-2</v>
      </c>
      <c r="T13" s="21">
        <f>K67/K72</f>
        <v>9.015422984895844</v>
      </c>
    </row>
    <row r="14" spans="1:20" ht="19" x14ac:dyDescent="0.25">
      <c r="A14" s="5" t="s">
        <v>9</v>
      </c>
      <c r="B14" s="1" t="s">
        <v>92</v>
      </c>
      <c r="C14" s="1" t="s">
        <v>92</v>
      </c>
      <c r="D14" s="1" t="s">
        <v>92</v>
      </c>
      <c r="E14" s="1" t="s">
        <v>92</v>
      </c>
      <c r="F14" s="1" t="s">
        <v>92</v>
      </c>
      <c r="G14" s="1" t="s">
        <v>92</v>
      </c>
      <c r="H14" s="1" t="s">
        <v>92</v>
      </c>
      <c r="I14" s="1" t="s">
        <v>92</v>
      </c>
      <c r="J14" s="1" t="s">
        <v>92</v>
      </c>
      <c r="K14" s="1" t="s">
        <v>92</v>
      </c>
    </row>
    <row r="15" spans="1:20" ht="20" x14ac:dyDescent="0.25">
      <c r="A15" s="5" t="s">
        <v>10</v>
      </c>
      <c r="B15" s="1">
        <v>102362000</v>
      </c>
      <c r="C15" s="1">
        <v>154422000</v>
      </c>
      <c r="D15" s="1">
        <v>266172000</v>
      </c>
      <c r="E15" s="1">
        <v>387155000</v>
      </c>
      <c r="F15" s="1">
        <v>563861000</v>
      </c>
      <c r="G15" s="1">
        <v>755008000</v>
      </c>
      <c r="H15" s="1">
        <v>1063204000</v>
      </c>
      <c r="I15" s="1">
        <v>1331280000</v>
      </c>
      <c r="J15" s="1">
        <v>1651477000</v>
      </c>
      <c r="K15" s="1">
        <v>2443632000</v>
      </c>
      <c r="Q15" s="18" t="s">
        <v>121</v>
      </c>
      <c r="R15" s="19" t="s">
        <v>122</v>
      </c>
      <c r="S15" s="19" t="s">
        <v>123</v>
      </c>
      <c r="T15" s="19" t="s">
        <v>124</v>
      </c>
    </row>
    <row r="16" spans="1:20" ht="19" x14ac:dyDescent="0.25">
      <c r="A16" s="5" t="s">
        <v>11</v>
      </c>
      <c r="B16" s="1">
        <v>135393000</v>
      </c>
      <c r="C16" s="1">
        <v>192408000</v>
      </c>
      <c r="D16" s="1">
        <v>319104000</v>
      </c>
      <c r="E16" s="1">
        <v>462938000</v>
      </c>
      <c r="F16" s="1">
        <v>683022000</v>
      </c>
      <c r="G16" s="1">
        <v>927698000</v>
      </c>
      <c r="H16" s="1">
        <v>1273489000</v>
      </c>
      <c r="I16" s="1">
        <v>1600087000</v>
      </c>
      <c r="J16" s="1">
        <v>1987498000</v>
      </c>
      <c r="K16" s="1">
        <v>2909339000</v>
      </c>
      <c r="Q16" s="29">
        <f>(K35+J35+I35+H35+G35)/5</f>
        <v>2.6573113665885339E-2</v>
      </c>
      <c r="R16" s="30">
        <f>S101/K3</f>
        <v>13.478087910943094</v>
      </c>
      <c r="S16" s="30">
        <f>S101/K28</f>
        <v>-61.514433567162335</v>
      </c>
      <c r="T16" s="31">
        <f>S101/K106</f>
        <v>46.702588098578929</v>
      </c>
    </row>
    <row r="17" spans="1:17" ht="19" x14ac:dyDescent="0.25">
      <c r="A17" s="5" t="s">
        <v>12</v>
      </c>
      <c r="B17" s="1">
        <v>272000</v>
      </c>
      <c r="C17" s="1">
        <v>228000</v>
      </c>
      <c r="D17" s="1">
        <v>74000</v>
      </c>
      <c r="E17" s="1">
        <v>71000</v>
      </c>
      <c r="F17" s="1">
        <v>75000</v>
      </c>
      <c r="G17" s="1">
        <v>6806000</v>
      </c>
      <c r="H17" s="1">
        <v>40241000</v>
      </c>
      <c r="I17" s="1">
        <v>49610000</v>
      </c>
      <c r="J17" s="1">
        <v>122713000</v>
      </c>
      <c r="K17" s="1">
        <v>25824000</v>
      </c>
    </row>
    <row r="18" spans="1:17" ht="20" x14ac:dyDescent="0.25">
      <c r="A18" s="5" t="s">
        <v>13</v>
      </c>
      <c r="B18" s="1">
        <v>12060000</v>
      </c>
      <c r="C18" s="1">
        <v>13316000</v>
      </c>
      <c r="D18" s="1">
        <v>15511000</v>
      </c>
      <c r="E18" s="1">
        <v>21926000</v>
      </c>
      <c r="F18" s="1">
        <v>61546000</v>
      </c>
      <c r="G18" s="1">
        <v>79435000</v>
      </c>
      <c r="H18" s="1">
        <v>70248000</v>
      </c>
      <c r="I18" s="1">
        <v>97398000</v>
      </c>
      <c r="J18" s="1">
        <v>92848000</v>
      </c>
      <c r="K18" s="1">
        <v>93958000</v>
      </c>
      <c r="Q18" s="18" t="s">
        <v>125</v>
      </c>
    </row>
    <row r="19" spans="1:17" ht="19" x14ac:dyDescent="0.25">
      <c r="A19" s="6" t="s">
        <v>14</v>
      </c>
      <c r="B19" s="10">
        <v>23735000</v>
      </c>
      <c r="C19" s="10">
        <v>35772000</v>
      </c>
      <c r="D19" s="10">
        <v>14836000</v>
      </c>
      <c r="E19" s="10">
        <v>17090000</v>
      </c>
      <c r="F19" s="10">
        <v>1969000</v>
      </c>
      <c r="G19" s="10">
        <v>20407000</v>
      </c>
      <c r="H19" s="10">
        <v>-495067000</v>
      </c>
      <c r="I19" s="10">
        <v>-199201000</v>
      </c>
      <c r="J19" s="10">
        <v>-419103000</v>
      </c>
      <c r="K19" s="10">
        <v>-444790000</v>
      </c>
      <c r="Q19" s="32">
        <f>K40-K56-K61</f>
        <v>144068000</v>
      </c>
    </row>
    <row r="20" spans="1:17" ht="19" customHeight="1" x14ac:dyDescent="0.25">
      <c r="A20" s="14" t="s">
        <v>101</v>
      </c>
      <c r="B20" s="1"/>
      <c r="C20" s="15">
        <f>(C19/B19)-1</f>
        <v>0.50714135243311564</v>
      </c>
      <c r="D20" s="15">
        <f>(D19/C19)-1</f>
        <v>-0.58526221625852615</v>
      </c>
      <c r="E20" s="15">
        <f>(E19/D19)-1</f>
        <v>0.15192774332704229</v>
      </c>
      <c r="F20" s="15">
        <f t="shared" ref="F20:K20" si="3">(F19/E19)-1</f>
        <v>-0.88478642480983027</v>
      </c>
      <c r="G20" s="15">
        <f t="shared" si="3"/>
        <v>9.3641442356526152</v>
      </c>
      <c r="H20" s="15">
        <f t="shared" si="3"/>
        <v>-25.259665800950653</v>
      </c>
      <c r="I20" s="15">
        <f t="shared" si="3"/>
        <v>-0.59762819981941839</v>
      </c>
      <c r="J20" s="15">
        <f t="shared" si="3"/>
        <v>1.1039201610433684</v>
      </c>
      <c r="K20" s="15">
        <f t="shared" si="3"/>
        <v>6.1290422640735143E-2</v>
      </c>
    </row>
    <row r="21" spans="1:17" ht="19" x14ac:dyDescent="0.25">
      <c r="A21" s="5" t="s">
        <v>15</v>
      </c>
      <c r="B21" s="2">
        <v>0.1598</v>
      </c>
      <c r="C21" s="2">
        <v>0.1663</v>
      </c>
      <c r="D21" s="2">
        <v>4.6399999999999997E-2</v>
      </c>
      <c r="E21" s="2">
        <v>3.7400000000000003E-2</v>
      </c>
      <c r="F21" s="2">
        <v>3.2000000000000002E-3</v>
      </c>
      <c r="G21" s="2">
        <v>2.3400000000000001E-2</v>
      </c>
      <c r="H21" s="2">
        <v>-0.40910000000000002</v>
      </c>
      <c r="I21" s="2">
        <v>-0.1234</v>
      </c>
      <c r="J21" s="2">
        <v>-0.2006</v>
      </c>
      <c r="K21" s="2">
        <v>-0.15870000000000001</v>
      </c>
    </row>
    <row r="22" spans="1:17" ht="19" x14ac:dyDescent="0.25">
      <c r="A22" s="6" t="s">
        <v>16</v>
      </c>
      <c r="B22" s="10">
        <v>13119000</v>
      </c>
      <c r="C22" s="10">
        <v>22701000</v>
      </c>
      <c r="D22" s="10">
        <v>417000</v>
      </c>
      <c r="E22" s="10">
        <v>-5880000</v>
      </c>
      <c r="F22" s="10">
        <v>-63086000</v>
      </c>
      <c r="G22" s="10">
        <v>-53748000</v>
      </c>
      <c r="H22" s="10">
        <v>-63362000</v>
      </c>
      <c r="I22" s="10">
        <v>14086000</v>
      </c>
      <c r="J22" s="10">
        <v>101634000</v>
      </c>
      <c r="K22" s="10">
        <v>-106457000</v>
      </c>
    </row>
    <row r="23" spans="1:17" ht="19" x14ac:dyDescent="0.25">
      <c r="A23" s="5" t="s">
        <v>17</v>
      </c>
      <c r="B23" s="2">
        <v>8.8300000000000003E-2</v>
      </c>
      <c r="C23" s="2">
        <v>0.1055</v>
      </c>
      <c r="D23" s="2">
        <v>1.2999999999999999E-3</v>
      </c>
      <c r="E23" s="2">
        <v>-1.29E-2</v>
      </c>
      <c r="F23" s="2">
        <v>-0.1018</v>
      </c>
      <c r="G23" s="2">
        <v>-6.1499999999999999E-2</v>
      </c>
      <c r="H23" s="2">
        <v>-5.2400000000000002E-2</v>
      </c>
      <c r="I23" s="2">
        <v>8.6999999999999994E-3</v>
      </c>
      <c r="J23" s="2">
        <v>4.8599999999999997E-2</v>
      </c>
      <c r="K23" s="2">
        <v>-3.7999999999999999E-2</v>
      </c>
    </row>
    <row r="24" spans="1:17" ht="19" x14ac:dyDescent="0.25">
      <c r="A24" s="5" t="s">
        <v>18</v>
      </c>
      <c r="B24" s="1">
        <v>-1716000</v>
      </c>
      <c r="C24" s="1">
        <v>-473000</v>
      </c>
      <c r="D24" s="1">
        <v>-1166000</v>
      </c>
      <c r="E24" s="1">
        <v>973000</v>
      </c>
      <c r="F24" s="1">
        <v>3434000</v>
      </c>
      <c r="G24" s="1">
        <v>-12086000</v>
      </c>
      <c r="H24" s="1">
        <v>-542194000</v>
      </c>
      <c r="I24" s="1">
        <v>-360295000</v>
      </c>
      <c r="J24" s="1">
        <v>-736298000</v>
      </c>
      <c r="K24" s="1">
        <v>-458115000</v>
      </c>
    </row>
    <row r="25" spans="1:17" ht="19" x14ac:dyDescent="0.25">
      <c r="A25" s="6" t="s">
        <v>19</v>
      </c>
      <c r="B25" s="10">
        <v>11403000</v>
      </c>
      <c r="C25" s="10">
        <v>22228000</v>
      </c>
      <c r="D25" s="10">
        <v>-749000</v>
      </c>
      <c r="E25" s="10">
        <v>-4907000</v>
      </c>
      <c r="F25" s="10">
        <v>-59652000</v>
      </c>
      <c r="G25" s="10">
        <v>-65834000</v>
      </c>
      <c r="H25" s="10">
        <v>-605556000</v>
      </c>
      <c r="I25" s="10">
        <v>-346209000</v>
      </c>
      <c r="J25" s="10">
        <v>-634664000</v>
      </c>
      <c r="K25" s="10">
        <v>-564572000</v>
      </c>
    </row>
    <row r="26" spans="1:17" ht="19" x14ac:dyDescent="0.25">
      <c r="A26" s="5" t="s">
        <v>20</v>
      </c>
      <c r="B26" s="2">
        <v>7.6799999999999993E-2</v>
      </c>
      <c r="C26" s="2">
        <v>0.1033</v>
      </c>
      <c r="D26" s="2">
        <v>-2.3E-3</v>
      </c>
      <c r="E26" s="2">
        <v>-1.0699999999999999E-2</v>
      </c>
      <c r="F26" s="2">
        <v>-9.6199999999999994E-2</v>
      </c>
      <c r="G26" s="2">
        <v>-7.5300000000000006E-2</v>
      </c>
      <c r="H26" s="2">
        <v>-0.50039999999999996</v>
      </c>
      <c r="I26" s="2">
        <v>-0.2145</v>
      </c>
      <c r="J26" s="2">
        <v>-0.30380000000000001</v>
      </c>
      <c r="K26" s="2">
        <v>-0.2014</v>
      </c>
    </row>
    <row r="27" spans="1:17" ht="19" x14ac:dyDescent="0.25">
      <c r="A27" s="5" t="s">
        <v>21</v>
      </c>
      <c r="B27" s="1">
        <v>642000</v>
      </c>
      <c r="C27" s="1">
        <v>3246000</v>
      </c>
      <c r="D27" s="1">
        <v>-7524000</v>
      </c>
      <c r="E27" s="1">
        <v>-9280000</v>
      </c>
      <c r="F27" s="1">
        <v>-17148000</v>
      </c>
      <c r="G27" s="1">
        <v>53507000</v>
      </c>
      <c r="H27" s="1">
        <v>32065000</v>
      </c>
      <c r="I27" s="1">
        <v>4445000</v>
      </c>
      <c r="J27" s="1">
        <v>61651000</v>
      </c>
      <c r="K27" s="1">
        <v>49552000</v>
      </c>
    </row>
    <row r="28" spans="1:17" ht="20" thickBot="1" x14ac:dyDescent="0.3">
      <c r="A28" s="7" t="s">
        <v>22</v>
      </c>
      <c r="B28" s="11">
        <v>10761000</v>
      </c>
      <c r="C28" s="11">
        <v>18982000</v>
      </c>
      <c r="D28" s="11">
        <v>6775000</v>
      </c>
      <c r="E28" s="11">
        <v>4373000</v>
      </c>
      <c r="F28" s="11">
        <v>-42504000</v>
      </c>
      <c r="G28" s="11">
        <v>-119341000</v>
      </c>
      <c r="H28" s="11">
        <v>-637621000</v>
      </c>
      <c r="I28" s="11">
        <v>-350654000</v>
      </c>
      <c r="J28" s="11">
        <v>-696315000</v>
      </c>
      <c r="K28" s="11">
        <v>-614124000</v>
      </c>
    </row>
    <row r="29" spans="1:17" ht="20" customHeight="1" thickTop="1" x14ac:dyDescent="0.25">
      <c r="A29" s="14" t="s">
        <v>102</v>
      </c>
      <c r="B29" s="1"/>
      <c r="C29" s="15">
        <f>(C28/B28)-1</f>
        <v>0.76396245702072307</v>
      </c>
      <c r="D29" s="15">
        <f>(D28/C28)-1</f>
        <v>-0.64308292066167949</v>
      </c>
      <c r="E29" s="15">
        <f>(E28/D28)-1</f>
        <v>-0.35453874538745389</v>
      </c>
      <c r="F29" s="15">
        <f t="shared" ref="F29:K29" si="4">(F28/E28)-1</f>
        <v>-10.719643265492797</v>
      </c>
      <c r="G29" s="15">
        <f t="shared" si="4"/>
        <v>1.8077592697157914</v>
      </c>
      <c r="H29" s="15">
        <f t="shared" si="4"/>
        <v>4.3428494817372068</v>
      </c>
      <c r="I29" s="15">
        <f t="shared" si="4"/>
        <v>-0.4500588907830827</v>
      </c>
      <c r="J29" s="15">
        <f t="shared" si="4"/>
        <v>0.98576089250372156</v>
      </c>
      <c r="K29" s="15">
        <f t="shared" si="4"/>
        <v>-0.11803709528015338</v>
      </c>
    </row>
    <row r="30" spans="1:17" ht="19" x14ac:dyDescent="0.25">
      <c r="A30" s="5" t="s">
        <v>23</v>
      </c>
      <c r="B30" s="2">
        <v>7.2499999999999995E-2</v>
      </c>
      <c r="C30" s="2">
        <v>8.8200000000000001E-2</v>
      </c>
      <c r="D30" s="2">
        <v>2.12E-2</v>
      </c>
      <c r="E30" s="2">
        <v>9.5999999999999992E-3</v>
      </c>
      <c r="F30" s="2">
        <v>-6.8599999999999994E-2</v>
      </c>
      <c r="G30" s="2">
        <v>-0.1366</v>
      </c>
      <c r="H30" s="2">
        <v>-0.52690000000000003</v>
      </c>
      <c r="I30" s="2">
        <v>-0.2172</v>
      </c>
      <c r="J30" s="2">
        <v>-0.33329999999999999</v>
      </c>
      <c r="K30" s="2">
        <v>-0.21909999999999999</v>
      </c>
    </row>
    <row r="31" spans="1:17" ht="19" x14ac:dyDescent="0.25">
      <c r="A31" s="5" t="s">
        <v>24</v>
      </c>
      <c r="B31" s="12">
        <v>0.05</v>
      </c>
      <c r="C31" s="12">
        <v>0.09</v>
      </c>
      <c r="D31" s="12">
        <v>0.03</v>
      </c>
      <c r="E31" s="12">
        <v>0.02</v>
      </c>
      <c r="F31" s="12">
        <v>-0.19</v>
      </c>
      <c r="G31" s="12">
        <v>-0.52</v>
      </c>
      <c r="H31" s="12">
        <v>-2.67</v>
      </c>
      <c r="I31" s="12">
        <v>-1.43</v>
      </c>
      <c r="J31" s="12">
        <v>-2.79</v>
      </c>
      <c r="K31" s="12">
        <v>-2.42</v>
      </c>
    </row>
    <row r="32" spans="1:17" ht="19" x14ac:dyDescent="0.25">
      <c r="A32" s="5" t="s">
        <v>25</v>
      </c>
      <c r="B32" s="12">
        <v>0.05</v>
      </c>
      <c r="C32" s="12">
        <v>0.09</v>
      </c>
      <c r="D32" s="12">
        <v>0.03</v>
      </c>
      <c r="E32" s="12">
        <v>0.02</v>
      </c>
      <c r="F32" s="12">
        <v>-0.19</v>
      </c>
      <c r="G32" s="12">
        <v>-0.52</v>
      </c>
      <c r="H32" s="12">
        <v>-2.67</v>
      </c>
      <c r="I32" s="12">
        <v>-1.43</v>
      </c>
      <c r="J32" s="12">
        <v>-2.79</v>
      </c>
      <c r="K32" s="12">
        <v>-2.42</v>
      </c>
    </row>
    <row r="33" spans="1:11" ht="19" x14ac:dyDescent="0.25">
      <c r="A33" s="5" t="s">
        <v>26</v>
      </c>
      <c r="B33" s="1">
        <v>208675129</v>
      </c>
      <c r="C33" s="1">
        <v>208675129</v>
      </c>
      <c r="D33" s="1">
        <v>208675129</v>
      </c>
      <c r="E33" s="1">
        <v>182773000</v>
      </c>
      <c r="F33" s="1">
        <v>222224000</v>
      </c>
      <c r="G33" s="1">
        <v>231184000</v>
      </c>
      <c r="H33" s="1">
        <v>238611000</v>
      </c>
      <c r="I33" s="1">
        <v>244844000</v>
      </c>
      <c r="J33" s="1">
        <v>249679000</v>
      </c>
      <c r="K33" s="1">
        <v>253312000</v>
      </c>
    </row>
    <row r="34" spans="1:11" ht="19" x14ac:dyDescent="0.25">
      <c r="A34" s="5" t="s">
        <v>27</v>
      </c>
      <c r="B34" s="1">
        <v>208675129</v>
      </c>
      <c r="C34" s="1">
        <v>208675129</v>
      </c>
      <c r="D34" s="1">
        <v>208675129</v>
      </c>
      <c r="E34" s="1">
        <v>193481000</v>
      </c>
      <c r="F34" s="1">
        <v>222224000</v>
      </c>
      <c r="G34" s="1">
        <v>231184000</v>
      </c>
      <c r="H34" s="1">
        <v>238611000</v>
      </c>
      <c r="I34" s="1">
        <v>244844000</v>
      </c>
      <c r="J34" s="1">
        <v>249679000</v>
      </c>
      <c r="K34" s="1">
        <v>253312000</v>
      </c>
    </row>
    <row r="35" spans="1:11" ht="20" customHeight="1" x14ac:dyDescent="0.25">
      <c r="A35" s="14" t="s">
        <v>103</v>
      </c>
      <c r="B35" s="1"/>
      <c r="C35" s="22">
        <f>(C34-B34)/B34</f>
        <v>0</v>
      </c>
      <c r="D35" s="22">
        <f t="shared" ref="D35:K35" si="5">(D34-C34)/C34</f>
        <v>0</v>
      </c>
      <c r="E35" s="22">
        <f t="shared" si="5"/>
        <v>-7.2812361841166032E-2</v>
      </c>
      <c r="F35" s="22">
        <f t="shared" si="5"/>
        <v>0.14855722267302732</v>
      </c>
      <c r="G35" s="22">
        <f t="shared" si="5"/>
        <v>4.0319677442580457E-2</v>
      </c>
      <c r="H35" s="22">
        <f t="shared" si="5"/>
        <v>3.212592566959651E-2</v>
      </c>
      <c r="I35" s="22">
        <f t="shared" si="5"/>
        <v>2.6122014492206982E-2</v>
      </c>
      <c r="J35" s="22">
        <f t="shared" si="5"/>
        <v>1.9747267647971769E-2</v>
      </c>
      <c r="K35" s="22">
        <f t="shared" si="5"/>
        <v>1.4550683077070959E-2</v>
      </c>
    </row>
    <row r="36" spans="1:11" ht="19" x14ac:dyDescent="0.25">
      <c r="A36" s="5" t="s">
        <v>28</v>
      </c>
      <c r="B36" s="13" t="s">
        <v>93</v>
      </c>
      <c r="C36" s="13" t="s">
        <v>93</v>
      </c>
      <c r="D36" s="13" t="s">
        <v>93</v>
      </c>
      <c r="E36" s="13" t="s">
        <v>93</v>
      </c>
      <c r="F36" s="13" t="s">
        <v>93</v>
      </c>
      <c r="G36" s="13" t="s">
        <v>93</v>
      </c>
      <c r="H36" s="13" t="s">
        <v>93</v>
      </c>
      <c r="I36" s="13" t="s">
        <v>93</v>
      </c>
      <c r="J36" s="13" t="s">
        <v>93</v>
      </c>
      <c r="K36" s="13" t="s">
        <v>93</v>
      </c>
    </row>
    <row r="37" spans="1:11" ht="21" x14ac:dyDescent="0.25">
      <c r="A37" s="4" t="s">
        <v>29</v>
      </c>
      <c r="B37" s="9" t="s">
        <v>91</v>
      </c>
      <c r="C37" s="9" t="s">
        <v>91</v>
      </c>
      <c r="D37" s="9" t="s">
        <v>91</v>
      </c>
      <c r="E37" s="9" t="s">
        <v>91</v>
      </c>
      <c r="F37" s="9" t="s">
        <v>91</v>
      </c>
      <c r="G37" s="9" t="s">
        <v>91</v>
      </c>
      <c r="H37" s="9" t="s">
        <v>91</v>
      </c>
      <c r="I37" s="9" t="s">
        <v>91</v>
      </c>
      <c r="J37" s="9" t="s">
        <v>91</v>
      </c>
      <c r="K37" s="9" t="s">
        <v>91</v>
      </c>
    </row>
    <row r="38" spans="1:11" ht="19" x14ac:dyDescent="0.25">
      <c r="A38" s="5" t="s">
        <v>30</v>
      </c>
      <c r="B38" s="1" t="s">
        <v>92</v>
      </c>
      <c r="C38" s="1">
        <v>116766000</v>
      </c>
      <c r="D38" s="1">
        <v>187094000</v>
      </c>
      <c r="E38" s="1">
        <v>259709000</v>
      </c>
      <c r="F38" s="1">
        <v>244420000</v>
      </c>
      <c r="G38" s="1">
        <v>1410339000</v>
      </c>
      <c r="H38" s="1">
        <v>1268441000</v>
      </c>
      <c r="I38" s="1">
        <v>1479969000</v>
      </c>
      <c r="J38" s="1">
        <v>919227000</v>
      </c>
      <c r="K38" s="1">
        <v>1385265000</v>
      </c>
    </row>
    <row r="39" spans="1:11" ht="19" x14ac:dyDescent="0.25">
      <c r="A39" s="5" t="s">
        <v>31</v>
      </c>
      <c r="B39" s="1" t="s">
        <v>92</v>
      </c>
      <c r="C39" s="1">
        <v>45235000</v>
      </c>
      <c r="D39" s="1">
        <v>30251000</v>
      </c>
      <c r="E39" s="1">
        <v>483405000</v>
      </c>
      <c r="F39" s="1">
        <v>305499000</v>
      </c>
      <c r="G39" s="1">
        <v>323134000</v>
      </c>
      <c r="H39" s="1">
        <v>445046000</v>
      </c>
      <c r="I39" s="1">
        <v>676072000</v>
      </c>
      <c r="J39" s="1">
        <v>313001000</v>
      </c>
      <c r="K39" s="1">
        <v>73294000</v>
      </c>
    </row>
    <row r="40" spans="1:11" ht="19" x14ac:dyDescent="0.25">
      <c r="A40" s="5" t="s">
        <v>32</v>
      </c>
      <c r="B40" s="1" t="s">
        <v>92</v>
      </c>
      <c r="C40" s="1">
        <v>162001000</v>
      </c>
      <c r="D40" s="1">
        <v>217345000</v>
      </c>
      <c r="E40" s="1">
        <v>743114000</v>
      </c>
      <c r="F40" s="1">
        <v>549919000</v>
      </c>
      <c r="G40" s="1">
        <v>1733473000</v>
      </c>
      <c r="H40" s="1">
        <v>1713487000</v>
      </c>
      <c r="I40" s="1">
        <v>2156041000</v>
      </c>
      <c r="J40" s="1">
        <v>1232228000</v>
      </c>
      <c r="K40" s="1">
        <v>1458559000</v>
      </c>
    </row>
    <row r="41" spans="1:11" ht="19" x14ac:dyDescent="0.25">
      <c r="A41" s="5" t="s">
        <v>33</v>
      </c>
      <c r="B41" s="1" t="s">
        <v>92</v>
      </c>
      <c r="C41" s="1">
        <v>6162000</v>
      </c>
      <c r="D41" s="1">
        <v>14310000</v>
      </c>
      <c r="E41" s="1">
        <v>25769000</v>
      </c>
      <c r="F41" s="1">
        <v>45197000</v>
      </c>
      <c r="G41" s="1">
        <v>64464000</v>
      </c>
      <c r="H41" s="1">
        <v>88281000</v>
      </c>
      <c r="I41" s="1">
        <v>128162000</v>
      </c>
      <c r="J41" s="1">
        <v>183365000</v>
      </c>
      <c r="K41" s="1">
        <v>313035000</v>
      </c>
    </row>
    <row r="42" spans="1:11" ht="19" x14ac:dyDescent="0.25">
      <c r="A42" s="5" t="s">
        <v>34</v>
      </c>
      <c r="B42" s="1" t="s">
        <v>92</v>
      </c>
      <c r="C42" s="1" t="s">
        <v>92</v>
      </c>
      <c r="D42" s="1" t="s">
        <v>92</v>
      </c>
      <c r="E42" s="1" t="s">
        <v>92</v>
      </c>
      <c r="F42" s="1" t="s">
        <v>92</v>
      </c>
      <c r="G42" s="1" t="s">
        <v>92</v>
      </c>
      <c r="H42" s="1" t="s">
        <v>92</v>
      </c>
      <c r="I42" s="1" t="s">
        <v>92</v>
      </c>
      <c r="J42" s="1" t="s">
        <v>92</v>
      </c>
      <c r="K42" s="1" t="s">
        <v>92</v>
      </c>
    </row>
    <row r="43" spans="1:11" ht="19" x14ac:dyDescent="0.25">
      <c r="A43" s="5" t="s">
        <v>35</v>
      </c>
      <c r="B43" s="1" t="s">
        <v>92</v>
      </c>
      <c r="C43" s="1">
        <v>3040000</v>
      </c>
      <c r="D43" s="1">
        <v>6976000</v>
      </c>
      <c r="E43" s="1">
        <v>9655000</v>
      </c>
      <c r="F43" s="1">
        <v>17372000</v>
      </c>
      <c r="G43" s="1">
        <v>22518000</v>
      </c>
      <c r="H43" s="1">
        <v>240343000</v>
      </c>
      <c r="I43" s="1">
        <v>359583000</v>
      </c>
      <c r="J43" s="1">
        <v>211913000</v>
      </c>
      <c r="K43" s="1">
        <v>127660000</v>
      </c>
    </row>
    <row r="44" spans="1:11" ht="19" x14ac:dyDescent="0.25">
      <c r="A44" s="6" t="s">
        <v>36</v>
      </c>
      <c r="B44" s="10" t="s">
        <v>92</v>
      </c>
      <c r="C44" s="10">
        <v>171203000</v>
      </c>
      <c r="D44" s="10">
        <v>238631000</v>
      </c>
      <c r="E44" s="10">
        <v>778538000</v>
      </c>
      <c r="F44" s="10">
        <v>612488000</v>
      </c>
      <c r="G44" s="10">
        <v>1820455000</v>
      </c>
      <c r="H44" s="10">
        <v>2042111000</v>
      </c>
      <c r="I44" s="10">
        <v>2643786000</v>
      </c>
      <c r="J44" s="10">
        <v>1627506000</v>
      </c>
      <c r="K44" s="10">
        <v>1899254000</v>
      </c>
    </row>
    <row r="45" spans="1:11" ht="19" x14ac:dyDescent="0.25">
      <c r="A45" s="5" t="s">
        <v>37</v>
      </c>
      <c r="B45" s="1" t="s">
        <v>92</v>
      </c>
      <c r="C45" s="1">
        <v>16038000</v>
      </c>
      <c r="D45" s="1">
        <v>41948000</v>
      </c>
      <c r="E45" s="1">
        <v>58762000</v>
      </c>
      <c r="F45" s="1">
        <v>41173000</v>
      </c>
      <c r="G45" s="1">
        <v>51656000</v>
      </c>
      <c r="H45" s="1">
        <v>81459000</v>
      </c>
      <c r="I45" s="1">
        <v>315331000</v>
      </c>
      <c r="J45" s="1">
        <v>271521000</v>
      </c>
      <c r="K45" s="1">
        <v>365882000</v>
      </c>
    </row>
    <row r="46" spans="1:11" ht="19" x14ac:dyDescent="0.25">
      <c r="A46" s="5" t="s">
        <v>38</v>
      </c>
      <c r="B46" s="1" t="s">
        <v>92</v>
      </c>
      <c r="C46" s="1">
        <v>1724000</v>
      </c>
      <c r="D46" s="1">
        <v>7152000</v>
      </c>
      <c r="E46" s="1">
        <v>7138000</v>
      </c>
      <c r="F46" s="1">
        <v>311900000</v>
      </c>
      <c r="G46" s="1">
        <v>311943000</v>
      </c>
      <c r="H46" s="1">
        <v>608907000</v>
      </c>
      <c r="I46" s="1">
        <v>645140000</v>
      </c>
      <c r="J46" s="1">
        <v>725758000</v>
      </c>
      <c r="K46" s="1">
        <v>732666000</v>
      </c>
    </row>
    <row r="47" spans="1:11" ht="19" x14ac:dyDescent="0.25">
      <c r="A47" s="5" t="s">
        <v>39</v>
      </c>
      <c r="B47" s="1" t="s">
        <v>92</v>
      </c>
      <c r="C47" s="1">
        <v>18984000</v>
      </c>
      <c r="D47" s="1">
        <v>21099000</v>
      </c>
      <c r="E47" s="1">
        <v>13577000</v>
      </c>
      <c r="F47" s="1">
        <v>120789000</v>
      </c>
      <c r="G47" s="1">
        <v>63577000</v>
      </c>
      <c r="H47" s="1">
        <v>150975000</v>
      </c>
      <c r="I47" s="1">
        <v>129690000</v>
      </c>
      <c r="J47" s="1">
        <v>124590000</v>
      </c>
      <c r="K47" s="1">
        <v>100840000</v>
      </c>
    </row>
    <row r="48" spans="1:11" ht="19" x14ac:dyDescent="0.25">
      <c r="A48" s="5" t="s">
        <v>40</v>
      </c>
      <c r="B48" s="1" t="s">
        <v>92</v>
      </c>
      <c r="C48" s="1">
        <v>20708000</v>
      </c>
      <c r="D48" s="1">
        <v>28251000</v>
      </c>
      <c r="E48" s="1">
        <v>20715000</v>
      </c>
      <c r="F48" s="1">
        <v>432689000</v>
      </c>
      <c r="G48" s="1">
        <v>375520000</v>
      </c>
      <c r="H48" s="1">
        <v>759882000</v>
      </c>
      <c r="I48" s="1">
        <v>774830000</v>
      </c>
      <c r="J48" s="1">
        <v>850348000</v>
      </c>
      <c r="K48" s="1">
        <v>833506000</v>
      </c>
    </row>
    <row r="49" spans="1:11" ht="19" x14ac:dyDescent="0.25">
      <c r="A49" s="5" t="s">
        <v>41</v>
      </c>
      <c r="B49" s="1" t="s">
        <v>92</v>
      </c>
      <c r="C49" s="1" t="s">
        <v>92</v>
      </c>
      <c r="D49" s="1" t="s">
        <v>92</v>
      </c>
      <c r="E49" s="1" t="s">
        <v>92</v>
      </c>
      <c r="F49" s="1" t="s">
        <v>92</v>
      </c>
      <c r="G49" s="1" t="s">
        <v>92</v>
      </c>
      <c r="H49" s="1">
        <v>61932000</v>
      </c>
      <c r="I49" s="1">
        <v>103937000</v>
      </c>
      <c r="J49" s="1">
        <v>122159000</v>
      </c>
      <c r="K49" s="1">
        <v>159064000</v>
      </c>
    </row>
    <row r="50" spans="1:11" ht="19" x14ac:dyDescent="0.25">
      <c r="A50" s="5" t="s">
        <v>42</v>
      </c>
      <c r="B50" s="1" t="s">
        <v>92</v>
      </c>
      <c r="C50" s="1">
        <v>48222000</v>
      </c>
      <c r="D50" s="1">
        <v>81519000</v>
      </c>
      <c r="E50" s="1">
        <v>127411000</v>
      </c>
      <c r="F50" s="1">
        <v>188239000</v>
      </c>
      <c r="G50" s="1">
        <v>64662000</v>
      </c>
      <c r="H50" s="1">
        <v>17084000</v>
      </c>
      <c r="I50" s="1">
        <v>35351000</v>
      </c>
      <c r="J50" s="1">
        <v>36174000</v>
      </c>
      <c r="K50" s="1">
        <v>42760000</v>
      </c>
    </row>
    <row r="51" spans="1:11" ht="19" x14ac:dyDescent="0.25">
      <c r="A51" s="5" t="s">
        <v>43</v>
      </c>
      <c r="B51" s="1" t="s">
        <v>92</v>
      </c>
      <c r="C51" s="1">
        <v>5867000</v>
      </c>
      <c r="D51" s="1">
        <v>6812000</v>
      </c>
      <c r="E51" s="1">
        <v>5547000</v>
      </c>
      <c r="F51" s="1">
        <v>9269000</v>
      </c>
      <c r="G51" s="1">
        <v>112221000</v>
      </c>
      <c r="H51" s="1">
        <v>14790000</v>
      </c>
      <c r="I51" s="1">
        <v>20837000</v>
      </c>
      <c r="J51" s="1">
        <v>37636000</v>
      </c>
      <c r="K51" s="1">
        <v>60740000</v>
      </c>
    </row>
    <row r="52" spans="1:11" ht="19" x14ac:dyDescent="0.25">
      <c r="A52" s="5" t="s">
        <v>44</v>
      </c>
      <c r="B52" s="1" t="s">
        <v>92</v>
      </c>
      <c r="C52" s="1">
        <v>90835000</v>
      </c>
      <c r="D52" s="1">
        <v>158530000</v>
      </c>
      <c r="E52" s="1">
        <v>212435000</v>
      </c>
      <c r="F52" s="1">
        <v>671370000</v>
      </c>
      <c r="G52" s="1">
        <v>604059000</v>
      </c>
      <c r="H52" s="1">
        <v>935147000</v>
      </c>
      <c r="I52" s="1">
        <v>1250286000</v>
      </c>
      <c r="J52" s="1">
        <v>1317838000</v>
      </c>
      <c r="K52" s="1">
        <v>1461952000</v>
      </c>
    </row>
    <row r="53" spans="1:11" ht="19" x14ac:dyDescent="0.25">
      <c r="A53" s="5" t="s">
        <v>45</v>
      </c>
      <c r="B53" s="1" t="s">
        <v>92</v>
      </c>
      <c r="C53" s="1" t="s">
        <v>92</v>
      </c>
      <c r="D53" s="1" t="s">
        <v>92</v>
      </c>
      <c r="E53" s="1" t="s">
        <v>92</v>
      </c>
      <c r="F53" s="1" t="s">
        <v>92</v>
      </c>
      <c r="G53" s="1" t="s">
        <v>92</v>
      </c>
      <c r="H53" s="1" t="s">
        <v>92</v>
      </c>
      <c r="I53" s="1" t="s">
        <v>92</v>
      </c>
      <c r="J53" s="1" t="s">
        <v>92</v>
      </c>
      <c r="K53" s="1" t="s">
        <v>92</v>
      </c>
    </row>
    <row r="54" spans="1:11" ht="20" thickBot="1" x14ac:dyDescent="0.3">
      <c r="A54" s="7" t="s">
        <v>46</v>
      </c>
      <c r="B54" s="11" t="s">
        <v>92</v>
      </c>
      <c r="C54" s="11">
        <v>262038000</v>
      </c>
      <c r="D54" s="11">
        <v>397161000</v>
      </c>
      <c r="E54" s="11">
        <v>990973000</v>
      </c>
      <c r="F54" s="11">
        <v>1283858000</v>
      </c>
      <c r="G54" s="11">
        <v>2424514000</v>
      </c>
      <c r="H54" s="11">
        <v>2977258000</v>
      </c>
      <c r="I54" s="11">
        <v>3894072000</v>
      </c>
      <c r="J54" s="11">
        <v>2945344000</v>
      </c>
      <c r="K54" s="11">
        <v>3361206000</v>
      </c>
    </row>
    <row r="55" spans="1:11" ht="20" thickTop="1" x14ac:dyDescent="0.25">
      <c r="A55" s="5" t="s">
        <v>47</v>
      </c>
      <c r="B55" s="1" t="s">
        <v>92</v>
      </c>
      <c r="C55" s="1">
        <v>4437000</v>
      </c>
      <c r="D55" s="1">
        <v>10598000</v>
      </c>
      <c r="E55" s="1">
        <v>9561000</v>
      </c>
      <c r="F55" s="1">
        <v>12464000</v>
      </c>
      <c r="G55" s="1">
        <v>17119000</v>
      </c>
      <c r="H55" s="1">
        <v>24993000</v>
      </c>
      <c r="I55" s="1">
        <v>30738000</v>
      </c>
      <c r="J55" s="1">
        <v>40366000</v>
      </c>
      <c r="K55" s="1">
        <v>67355000</v>
      </c>
    </row>
    <row r="56" spans="1:11" ht="19" x14ac:dyDescent="0.25">
      <c r="A56" s="5" t="s">
        <v>48</v>
      </c>
      <c r="B56" s="1" t="s">
        <v>92</v>
      </c>
      <c r="C56" s="1">
        <v>312000</v>
      </c>
      <c r="D56" s="1">
        <v>526000</v>
      </c>
      <c r="E56" s="1">
        <v>766000</v>
      </c>
      <c r="F56" s="1">
        <v>688000</v>
      </c>
      <c r="G56" s="1">
        <v>1420000</v>
      </c>
      <c r="H56" s="1">
        <v>855189000</v>
      </c>
      <c r="I56" s="1">
        <v>923926000</v>
      </c>
      <c r="J56" s="1">
        <v>391245000</v>
      </c>
      <c r="K56" s="1">
        <v>40638000</v>
      </c>
    </row>
    <row r="57" spans="1:11" ht="19" x14ac:dyDescent="0.25">
      <c r="A57" s="5" t="s">
        <v>49</v>
      </c>
      <c r="B57" s="1" t="s">
        <v>92</v>
      </c>
      <c r="C57" s="1">
        <v>2539000</v>
      </c>
      <c r="D57" s="1">
        <v>3977000</v>
      </c>
      <c r="E57" s="1">
        <v>5296000</v>
      </c>
      <c r="F57" s="1">
        <v>8321000</v>
      </c>
      <c r="G57" s="1">
        <v>8248000</v>
      </c>
      <c r="H57" s="1">
        <v>20861000</v>
      </c>
      <c r="I57" s="1">
        <v>28592000</v>
      </c>
      <c r="J57" s="1">
        <v>52203000</v>
      </c>
      <c r="K57" s="1">
        <v>41254000</v>
      </c>
    </row>
    <row r="58" spans="1:11" ht="19" x14ac:dyDescent="0.25">
      <c r="A58" s="5" t="s">
        <v>50</v>
      </c>
      <c r="B58" s="1" t="s">
        <v>92</v>
      </c>
      <c r="C58" s="1">
        <v>85262000</v>
      </c>
      <c r="D58" s="1">
        <v>131231000</v>
      </c>
      <c r="E58" s="1">
        <v>173612000</v>
      </c>
      <c r="F58" s="1">
        <v>245306000</v>
      </c>
      <c r="G58" s="1">
        <v>340834000</v>
      </c>
      <c r="H58" s="1">
        <v>448897000</v>
      </c>
      <c r="I58" s="1">
        <v>581710000</v>
      </c>
      <c r="J58" s="1">
        <v>821775000</v>
      </c>
      <c r="K58" s="1">
        <v>1075777000</v>
      </c>
    </row>
    <row r="59" spans="1:11" ht="19" x14ac:dyDescent="0.25">
      <c r="A59" s="5" t="s">
        <v>51</v>
      </c>
      <c r="B59" s="1" t="s">
        <v>92</v>
      </c>
      <c r="C59" s="1">
        <v>33979000</v>
      </c>
      <c r="D59" s="1">
        <v>41822000</v>
      </c>
      <c r="E59" s="1">
        <v>47265000</v>
      </c>
      <c r="F59" s="1">
        <v>60088000</v>
      </c>
      <c r="G59" s="1">
        <v>93705000</v>
      </c>
      <c r="H59" s="1">
        <v>979768000</v>
      </c>
      <c r="I59" s="1">
        <v>1453813000</v>
      </c>
      <c r="J59" s="1">
        <v>1004422000</v>
      </c>
      <c r="K59" s="1">
        <v>369032000</v>
      </c>
    </row>
    <row r="60" spans="1:11" ht="19" x14ac:dyDescent="0.25">
      <c r="A60" s="6" t="s">
        <v>52</v>
      </c>
      <c r="B60" s="10" t="s">
        <v>92</v>
      </c>
      <c r="C60" s="10">
        <v>126529000</v>
      </c>
      <c r="D60" s="10">
        <v>188154000</v>
      </c>
      <c r="E60" s="10">
        <v>236500000</v>
      </c>
      <c r="F60" s="10">
        <v>326867000</v>
      </c>
      <c r="G60" s="10">
        <v>461326000</v>
      </c>
      <c r="H60" s="10">
        <v>2329708000</v>
      </c>
      <c r="I60" s="10">
        <v>3018779000</v>
      </c>
      <c r="J60" s="10">
        <v>2310011000</v>
      </c>
      <c r="K60" s="10">
        <v>1594056000</v>
      </c>
    </row>
    <row r="61" spans="1:11" ht="19" x14ac:dyDescent="0.25">
      <c r="A61" s="5" t="s">
        <v>53</v>
      </c>
      <c r="B61" s="1" t="s">
        <v>92</v>
      </c>
      <c r="C61" s="1" t="s">
        <v>92</v>
      </c>
      <c r="D61" s="1" t="s">
        <v>92</v>
      </c>
      <c r="E61" s="1" t="s">
        <v>92</v>
      </c>
      <c r="F61" s="1" t="s">
        <v>92</v>
      </c>
      <c r="G61" s="1">
        <v>819637000</v>
      </c>
      <c r="H61" s="1" t="s">
        <v>92</v>
      </c>
      <c r="I61" s="1">
        <v>229825000</v>
      </c>
      <c r="J61" s="1">
        <v>214103000</v>
      </c>
      <c r="K61" s="1">
        <v>1273853000</v>
      </c>
    </row>
    <row r="62" spans="1:11" ht="19" x14ac:dyDescent="0.25">
      <c r="A62" s="5" t="s">
        <v>50</v>
      </c>
      <c r="B62" s="1" t="s">
        <v>92</v>
      </c>
      <c r="C62" s="1">
        <v>3921000</v>
      </c>
      <c r="D62" s="1">
        <v>5334000</v>
      </c>
      <c r="E62" s="1">
        <v>7456000</v>
      </c>
      <c r="F62" s="1">
        <v>10691000</v>
      </c>
      <c r="G62" s="1">
        <v>19386000</v>
      </c>
      <c r="H62" s="1">
        <v>27866000</v>
      </c>
      <c r="I62" s="1">
        <v>27192000</v>
      </c>
      <c r="J62" s="1">
        <v>84652000</v>
      </c>
      <c r="K62" s="1">
        <v>116621000</v>
      </c>
    </row>
    <row r="63" spans="1:11" ht="19" x14ac:dyDescent="0.25">
      <c r="A63" s="5" t="s">
        <v>54</v>
      </c>
      <c r="B63" s="1" t="s">
        <v>92</v>
      </c>
      <c r="C63" s="1">
        <v>2936000</v>
      </c>
      <c r="D63" s="1">
        <v>4919000</v>
      </c>
      <c r="E63" s="1">
        <v>6639000</v>
      </c>
      <c r="F63" s="1">
        <v>43950000</v>
      </c>
      <c r="G63" s="1">
        <v>12051000</v>
      </c>
      <c r="H63" s="1">
        <v>13872000</v>
      </c>
      <c r="I63" s="1">
        <v>31304000</v>
      </c>
      <c r="J63" s="1">
        <v>26625000</v>
      </c>
      <c r="K63" s="1">
        <v>26457000</v>
      </c>
    </row>
    <row r="64" spans="1:11" ht="19" x14ac:dyDescent="0.25">
      <c r="A64" s="5" t="s">
        <v>55</v>
      </c>
      <c r="B64" s="1" t="s">
        <v>92</v>
      </c>
      <c r="C64" s="1">
        <v>3323000</v>
      </c>
      <c r="D64" s="1">
        <v>8700000</v>
      </c>
      <c r="E64" s="1">
        <v>8715000</v>
      </c>
      <c r="F64" s="1">
        <v>8302000</v>
      </c>
      <c r="G64" s="1">
        <v>219348000</v>
      </c>
      <c r="H64" s="1">
        <v>40345000</v>
      </c>
      <c r="I64" s="1">
        <v>11666000</v>
      </c>
      <c r="J64" s="1">
        <v>15039000</v>
      </c>
      <c r="K64" s="1">
        <v>14616000</v>
      </c>
    </row>
    <row r="65" spans="1:11" ht="19" x14ac:dyDescent="0.25">
      <c r="A65" s="5" t="s">
        <v>56</v>
      </c>
      <c r="B65" s="1" t="s">
        <v>92</v>
      </c>
      <c r="C65" s="1">
        <v>10180000</v>
      </c>
      <c r="D65" s="1">
        <v>18953000</v>
      </c>
      <c r="E65" s="1">
        <v>22810000</v>
      </c>
      <c r="F65" s="1">
        <v>62943000</v>
      </c>
      <c r="G65" s="1">
        <v>1070422000</v>
      </c>
      <c r="H65" s="1">
        <v>82083000</v>
      </c>
      <c r="I65" s="1">
        <v>299987000</v>
      </c>
      <c r="J65" s="1">
        <v>340419000</v>
      </c>
      <c r="K65" s="1">
        <v>1431547000</v>
      </c>
    </row>
    <row r="66" spans="1:11" ht="19" x14ac:dyDescent="0.25">
      <c r="A66" s="5" t="s">
        <v>57</v>
      </c>
      <c r="B66" s="1" t="s">
        <v>92</v>
      </c>
      <c r="C66" s="1" t="s">
        <v>92</v>
      </c>
      <c r="D66" s="1" t="s">
        <v>92</v>
      </c>
      <c r="E66" s="1" t="s">
        <v>92</v>
      </c>
      <c r="F66" s="1" t="s">
        <v>92</v>
      </c>
      <c r="G66" s="1" t="s">
        <v>92</v>
      </c>
      <c r="H66" s="1" t="s">
        <v>92</v>
      </c>
      <c r="I66" s="1" t="s">
        <v>92</v>
      </c>
      <c r="J66" s="1" t="s">
        <v>92</v>
      </c>
      <c r="K66" s="1" t="s">
        <v>92</v>
      </c>
    </row>
    <row r="67" spans="1:11" ht="19" x14ac:dyDescent="0.25">
      <c r="A67" s="6" t="s">
        <v>58</v>
      </c>
      <c r="B67" s="10" t="s">
        <v>92</v>
      </c>
      <c r="C67" s="10">
        <v>136709000</v>
      </c>
      <c r="D67" s="10">
        <v>207107000</v>
      </c>
      <c r="E67" s="10">
        <v>259310000</v>
      </c>
      <c r="F67" s="10">
        <v>389810000</v>
      </c>
      <c r="G67" s="10">
        <v>1531748000</v>
      </c>
      <c r="H67" s="10">
        <v>2411791000</v>
      </c>
      <c r="I67" s="10">
        <v>3318766000</v>
      </c>
      <c r="J67" s="10">
        <v>2650430000</v>
      </c>
      <c r="K67" s="10">
        <v>3025603000</v>
      </c>
    </row>
    <row r="68" spans="1:11" ht="19" x14ac:dyDescent="0.25">
      <c r="A68" s="5" t="s">
        <v>59</v>
      </c>
      <c r="B68" s="1" t="s">
        <v>92</v>
      </c>
      <c r="C68" s="1">
        <v>14401000</v>
      </c>
      <c r="D68" s="1">
        <v>14401000</v>
      </c>
      <c r="E68" s="1">
        <v>21620000</v>
      </c>
      <c r="F68" s="1">
        <v>22726000</v>
      </c>
      <c r="G68" s="1">
        <v>23531000</v>
      </c>
      <c r="H68" s="1">
        <v>24199000</v>
      </c>
      <c r="I68" s="1">
        <v>24744000</v>
      </c>
      <c r="J68" s="1">
        <v>25164000</v>
      </c>
      <c r="K68" s="1">
        <v>25485000</v>
      </c>
    </row>
    <row r="69" spans="1:11" ht="19" x14ac:dyDescent="0.25">
      <c r="A69" s="5" t="s">
        <v>60</v>
      </c>
      <c r="B69" s="1" t="s">
        <v>92</v>
      </c>
      <c r="C69" s="1">
        <v>8127000</v>
      </c>
      <c r="D69" s="1">
        <v>14902000</v>
      </c>
      <c r="E69" s="1">
        <v>19275000</v>
      </c>
      <c r="F69" s="1">
        <v>-23229000</v>
      </c>
      <c r="G69" s="1">
        <v>-142570000</v>
      </c>
      <c r="H69" s="1">
        <v>-765637000</v>
      </c>
      <c r="I69" s="1">
        <v>-1116392000</v>
      </c>
      <c r="J69" s="1">
        <v>-1812707000</v>
      </c>
      <c r="K69" s="1">
        <v>-2428575000</v>
      </c>
    </row>
    <row r="70" spans="1:11" ht="19" x14ac:dyDescent="0.25">
      <c r="A70" s="5" t="s">
        <v>61</v>
      </c>
      <c r="B70" s="1" t="s">
        <v>92</v>
      </c>
      <c r="C70" s="1">
        <v>39076000</v>
      </c>
      <c r="D70" s="1">
        <v>39194000</v>
      </c>
      <c r="E70" s="1">
        <v>244335000</v>
      </c>
      <c r="F70" s="1">
        <v>437346000</v>
      </c>
      <c r="G70" s="1">
        <v>557100000</v>
      </c>
      <c r="H70" s="1">
        <v>816660000</v>
      </c>
      <c r="I70" s="1">
        <v>1130918000</v>
      </c>
      <c r="J70" s="1">
        <v>1516609000</v>
      </c>
      <c r="K70" s="1">
        <v>2223820000</v>
      </c>
    </row>
    <row r="71" spans="1:11" ht="19" x14ac:dyDescent="0.25">
      <c r="A71" s="5" t="s">
        <v>62</v>
      </c>
      <c r="B71" s="1" t="s">
        <v>92</v>
      </c>
      <c r="C71" s="1">
        <v>60982000</v>
      </c>
      <c r="D71" s="1">
        <v>118814000</v>
      </c>
      <c r="E71" s="1">
        <v>446433000</v>
      </c>
      <c r="F71" s="1">
        <v>457205000</v>
      </c>
      <c r="G71" s="1">
        <v>454705000</v>
      </c>
      <c r="H71" s="1">
        <v>490245000</v>
      </c>
      <c r="I71" s="1">
        <v>536036000</v>
      </c>
      <c r="J71" s="1">
        <v>565848000</v>
      </c>
      <c r="K71" s="1">
        <v>514873000</v>
      </c>
    </row>
    <row r="72" spans="1:11" ht="19" x14ac:dyDescent="0.25">
      <c r="A72" s="6" t="s">
        <v>63</v>
      </c>
      <c r="B72" s="10" t="s">
        <v>92</v>
      </c>
      <c r="C72" s="10">
        <v>125329000</v>
      </c>
      <c r="D72" s="10">
        <v>190054000</v>
      </c>
      <c r="E72" s="10">
        <v>731663000</v>
      </c>
      <c r="F72" s="10">
        <v>894048000</v>
      </c>
      <c r="G72" s="10">
        <v>892766000</v>
      </c>
      <c r="H72" s="10">
        <v>565467000</v>
      </c>
      <c r="I72" s="10">
        <v>575306000</v>
      </c>
      <c r="J72" s="10">
        <v>294914000</v>
      </c>
      <c r="K72" s="10">
        <v>335603000</v>
      </c>
    </row>
    <row r="73" spans="1:11" ht="20" thickBot="1" x14ac:dyDescent="0.3">
      <c r="A73" s="7" t="s">
        <v>64</v>
      </c>
      <c r="B73" s="11" t="s">
        <v>92</v>
      </c>
      <c r="C73" s="11">
        <v>262038000</v>
      </c>
      <c r="D73" s="11">
        <v>397161000</v>
      </c>
      <c r="E73" s="11">
        <v>990973000</v>
      </c>
      <c r="F73" s="11">
        <v>1283858000</v>
      </c>
      <c r="G73" s="11">
        <v>2424514000</v>
      </c>
      <c r="H73" s="11">
        <v>2977258000</v>
      </c>
      <c r="I73" s="11">
        <v>3894072000</v>
      </c>
      <c r="J73" s="11">
        <v>2945344000</v>
      </c>
      <c r="K73" s="11">
        <v>3361206000</v>
      </c>
    </row>
    <row r="74" spans="1:11" ht="20" thickTop="1" x14ac:dyDescent="0.25">
      <c r="A74" s="5" t="s">
        <v>28</v>
      </c>
      <c r="B74" s="13" t="s">
        <v>93</v>
      </c>
      <c r="C74" s="13" t="s">
        <v>93</v>
      </c>
      <c r="D74" s="13" t="s">
        <v>93</v>
      </c>
      <c r="E74" s="13" t="s">
        <v>93</v>
      </c>
      <c r="F74" s="13" t="s">
        <v>93</v>
      </c>
      <c r="G74" s="13" t="s">
        <v>93</v>
      </c>
      <c r="H74" s="13" t="s">
        <v>93</v>
      </c>
      <c r="I74" s="13" t="s">
        <v>93</v>
      </c>
      <c r="J74" s="13" t="s">
        <v>93</v>
      </c>
      <c r="K74" s="13" t="s">
        <v>93</v>
      </c>
    </row>
    <row r="75" spans="1:11" ht="21" x14ac:dyDescent="0.25">
      <c r="A75" s="4" t="s">
        <v>65</v>
      </c>
      <c r="B75" s="9" t="s">
        <v>91</v>
      </c>
      <c r="C75" s="9" t="s">
        <v>91</v>
      </c>
      <c r="D75" s="9" t="s">
        <v>91</v>
      </c>
      <c r="E75" s="9" t="s">
        <v>91</v>
      </c>
      <c r="F75" s="9" t="s">
        <v>91</v>
      </c>
      <c r="G75" s="9" t="s">
        <v>91</v>
      </c>
      <c r="H75" s="9" t="s">
        <v>91</v>
      </c>
      <c r="I75" s="9" t="s">
        <v>91</v>
      </c>
      <c r="J75" s="9" t="s">
        <v>91</v>
      </c>
      <c r="K75" s="9" t="s">
        <v>91</v>
      </c>
    </row>
    <row r="76" spans="1:11" ht="19" x14ac:dyDescent="0.25">
      <c r="A76" s="5" t="s">
        <v>66</v>
      </c>
      <c r="B76" s="1">
        <v>11403000</v>
      </c>
      <c r="C76" s="1">
        <v>22228000</v>
      </c>
      <c r="D76" s="1">
        <v>-749000</v>
      </c>
      <c r="E76" s="1">
        <v>-4907000</v>
      </c>
      <c r="F76" s="1">
        <v>-59652000</v>
      </c>
      <c r="G76" s="1">
        <v>-65834000</v>
      </c>
      <c r="H76" s="1">
        <v>-605556000</v>
      </c>
      <c r="I76" s="1">
        <v>-346209000</v>
      </c>
      <c r="J76" s="1">
        <v>-634664000</v>
      </c>
      <c r="K76" s="1">
        <v>-564572000</v>
      </c>
    </row>
    <row r="77" spans="1:11" ht="19" x14ac:dyDescent="0.25">
      <c r="A77" s="5" t="s">
        <v>13</v>
      </c>
      <c r="B77" s="1">
        <v>12060000</v>
      </c>
      <c r="C77" s="1">
        <v>13316000</v>
      </c>
      <c r="D77" s="1">
        <v>15511000</v>
      </c>
      <c r="E77" s="1">
        <v>21926000</v>
      </c>
      <c r="F77" s="1">
        <v>61546000</v>
      </c>
      <c r="G77" s="1">
        <v>79435000</v>
      </c>
      <c r="H77" s="1">
        <v>70248000</v>
      </c>
      <c r="I77" s="1">
        <v>97398000</v>
      </c>
      <c r="J77" s="1">
        <v>92848000</v>
      </c>
      <c r="K77" s="1">
        <v>93958000</v>
      </c>
    </row>
    <row r="78" spans="1:11" ht="19" x14ac:dyDescent="0.25">
      <c r="A78" s="5" t="s">
        <v>67</v>
      </c>
      <c r="B78" s="1" t="s">
        <v>92</v>
      </c>
      <c r="C78" s="1" t="s">
        <v>92</v>
      </c>
      <c r="D78" s="1" t="s">
        <v>92</v>
      </c>
      <c r="E78" s="1" t="s">
        <v>92</v>
      </c>
      <c r="F78" s="1" t="s">
        <v>92</v>
      </c>
      <c r="G78" s="1" t="s">
        <v>92</v>
      </c>
      <c r="H78" s="1" t="s">
        <v>92</v>
      </c>
      <c r="I78" s="1" t="s">
        <v>92</v>
      </c>
      <c r="J78" s="1" t="s">
        <v>92</v>
      </c>
      <c r="K78" s="1" t="s">
        <v>92</v>
      </c>
    </row>
    <row r="79" spans="1:11" ht="19" x14ac:dyDescent="0.25">
      <c r="A79" s="5" t="s">
        <v>68</v>
      </c>
      <c r="B79" s="1">
        <v>3491000</v>
      </c>
      <c r="C79" s="1">
        <v>11364000</v>
      </c>
      <c r="D79" s="1">
        <v>41534000</v>
      </c>
      <c r="E79" s="1">
        <v>75480000</v>
      </c>
      <c r="F79" s="1">
        <v>137448000</v>
      </c>
      <c r="G79" s="1">
        <v>162873000</v>
      </c>
      <c r="H79" s="1">
        <v>257762000</v>
      </c>
      <c r="I79" s="1">
        <v>313395000</v>
      </c>
      <c r="J79" s="1">
        <v>385732000</v>
      </c>
      <c r="K79" s="1">
        <v>707087000</v>
      </c>
    </row>
    <row r="80" spans="1:11" ht="19" x14ac:dyDescent="0.25">
      <c r="A80" s="14" t="s">
        <v>104</v>
      </c>
      <c r="B80" s="15">
        <f t="shared" ref="B80:K80" si="6">B79/B3</f>
        <v>2.3506517991812109E-2</v>
      </c>
      <c r="C80" s="15">
        <f t="shared" si="6"/>
        <v>5.2829030863422728E-2</v>
      </c>
      <c r="D80" s="15">
        <f t="shared" si="6"/>
        <v>0.12998832627589424</v>
      </c>
      <c r="E80" s="15">
        <f t="shared" si="6"/>
        <v>0.16514315469809082</v>
      </c>
      <c r="F80" s="15">
        <f t="shared" si="6"/>
        <v>0.22171320910545605</v>
      </c>
      <c r="G80" s="15">
        <f t="shared" si="6"/>
        <v>0.18636420847874594</v>
      </c>
      <c r="H80" s="15">
        <f t="shared" si="6"/>
        <v>0.21300408965340001</v>
      </c>
      <c r="I80" s="15">
        <f t="shared" si="6"/>
        <v>0.19415205185565612</v>
      </c>
      <c r="J80" s="15">
        <f t="shared" si="6"/>
        <v>0.1846374475140872</v>
      </c>
      <c r="K80" s="15">
        <f t="shared" si="6"/>
        <v>0.25227141206800713</v>
      </c>
    </row>
    <row r="81" spans="1:19" ht="19" x14ac:dyDescent="0.25">
      <c r="A81" s="5" t="s">
        <v>69</v>
      </c>
      <c r="B81" s="1">
        <v>29948000</v>
      </c>
      <c r="C81" s="1">
        <v>31294000</v>
      </c>
      <c r="D81" s="1">
        <v>45616000</v>
      </c>
      <c r="E81" s="1">
        <v>48435000</v>
      </c>
      <c r="F81" s="1">
        <v>67696000</v>
      </c>
      <c r="G81" s="1">
        <v>120772000</v>
      </c>
      <c r="H81" s="1">
        <v>169000000</v>
      </c>
      <c r="I81" s="1">
        <v>143019000</v>
      </c>
      <c r="J81" s="1">
        <v>284960000</v>
      </c>
      <c r="K81" s="1">
        <v>270352000</v>
      </c>
    </row>
    <row r="82" spans="1:19" ht="19" x14ac:dyDescent="0.25">
      <c r="A82" s="5" t="s">
        <v>70</v>
      </c>
      <c r="B82" s="1" t="s">
        <v>92</v>
      </c>
      <c r="C82" s="1">
        <v>-1959000</v>
      </c>
      <c r="D82" s="1" t="s">
        <v>92</v>
      </c>
      <c r="E82" s="1">
        <v>-3487000</v>
      </c>
      <c r="F82" s="1">
        <v>-10208000</v>
      </c>
      <c r="G82" s="1">
        <v>-19635000</v>
      </c>
      <c r="H82" s="1">
        <v>-30211000</v>
      </c>
      <c r="I82" s="1">
        <v>-29440000</v>
      </c>
      <c r="J82" s="1">
        <v>-61256000</v>
      </c>
      <c r="K82" s="1">
        <v>-134764000</v>
      </c>
    </row>
    <row r="83" spans="1:19" ht="21" x14ac:dyDescent="0.25">
      <c r="A83" s="5" t="s">
        <v>34</v>
      </c>
      <c r="B83" s="1" t="s">
        <v>92</v>
      </c>
      <c r="C83" s="1" t="s">
        <v>92</v>
      </c>
      <c r="D83" s="1" t="s">
        <v>92</v>
      </c>
      <c r="E83" s="1" t="s">
        <v>92</v>
      </c>
      <c r="F83" s="1" t="s">
        <v>92</v>
      </c>
      <c r="G83" s="1" t="s">
        <v>92</v>
      </c>
      <c r="H83" s="1" t="s">
        <v>92</v>
      </c>
      <c r="I83" s="1" t="s">
        <v>92</v>
      </c>
      <c r="J83" s="1" t="s">
        <v>92</v>
      </c>
      <c r="K83" s="1" t="s">
        <v>92</v>
      </c>
      <c r="R83" s="61" t="s">
        <v>126</v>
      </c>
      <c r="S83" s="62"/>
    </row>
    <row r="84" spans="1:19" ht="19" x14ac:dyDescent="0.25">
      <c r="A84" s="5" t="s">
        <v>47</v>
      </c>
      <c r="B84" s="1">
        <v>12883000</v>
      </c>
      <c r="C84" s="1">
        <v>13278000</v>
      </c>
      <c r="D84" s="1">
        <v>16013000</v>
      </c>
      <c r="E84" s="1">
        <v>11622000</v>
      </c>
      <c r="F84" s="1">
        <v>10947000</v>
      </c>
      <c r="G84" s="1">
        <v>43477000</v>
      </c>
      <c r="H84" s="1">
        <v>75624000</v>
      </c>
      <c r="I84" s="1">
        <v>51532000</v>
      </c>
      <c r="J84" s="1">
        <v>64899000</v>
      </c>
      <c r="K84" s="1" t="s">
        <v>92</v>
      </c>
      <c r="R84" s="63" t="s">
        <v>127</v>
      </c>
      <c r="S84" s="64"/>
    </row>
    <row r="85" spans="1:19" ht="20" x14ac:dyDescent="0.25">
      <c r="A85" s="5" t="s">
        <v>71</v>
      </c>
      <c r="B85" s="1">
        <v>18567000</v>
      </c>
      <c r="C85" s="1">
        <v>24785000</v>
      </c>
      <c r="D85" s="1">
        <v>47381000</v>
      </c>
      <c r="E85" s="1">
        <v>44503000</v>
      </c>
      <c r="F85" s="1">
        <v>72604000</v>
      </c>
      <c r="G85" s="1">
        <v>104223000</v>
      </c>
      <c r="H85" s="1">
        <v>122502000</v>
      </c>
      <c r="I85" s="1">
        <v>131535000</v>
      </c>
      <c r="J85" s="1">
        <v>294371000</v>
      </c>
      <c r="K85" s="1">
        <v>284937000</v>
      </c>
      <c r="R85" s="23" t="s">
        <v>128</v>
      </c>
      <c r="S85" s="24">
        <f>K17</f>
        <v>25824000</v>
      </c>
    </row>
    <row r="86" spans="1:19" ht="20" x14ac:dyDescent="0.25">
      <c r="A86" s="5" t="s">
        <v>72</v>
      </c>
      <c r="B86" s="1">
        <v>-2592000</v>
      </c>
      <c r="C86" s="1">
        <v>-2922000</v>
      </c>
      <c r="D86" s="1">
        <v>-3691000</v>
      </c>
      <c r="E86" s="1">
        <v>-11392000</v>
      </c>
      <c r="F86" s="1">
        <v>-7657000</v>
      </c>
      <c r="G86" s="1">
        <v>14210000</v>
      </c>
      <c r="H86" s="1">
        <v>574888000</v>
      </c>
      <c r="I86" s="1">
        <v>366607000</v>
      </c>
      <c r="J86" s="1">
        <v>712454000</v>
      </c>
      <c r="K86" s="1">
        <v>376671000</v>
      </c>
      <c r="R86" s="23" t="s">
        <v>129</v>
      </c>
      <c r="S86" s="24">
        <f>K56</f>
        <v>40638000</v>
      </c>
    </row>
    <row r="87" spans="1:19" ht="20" x14ac:dyDescent="0.25">
      <c r="A87" s="6" t="s">
        <v>73</v>
      </c>
      <c r="B87" s="10">
        <v>54310000</v>
      </c>
      <c r="C87" s="10">
        <v>75280000</v>
      </c>
      <c r="D87" s="10">
        <v>98221000</v>
      </c>
      <c r="E87" s="10">
        <v>129542000</v>
      </c>
      <c r="F87" s="10">
        <v>199381000</v>
      </c>
      <c r="G87" s="10">
        <v>311456000</v>
      </c>
      <c r="H87" s="10">
        <v>466342000</v>
      </c>
      <c r="I87" s="10">
        <v>574210000</v>
      </c>
      <c r="J87" s="10">
        <v>841330000</v>
      </c>
      <c r="K87" s="10">
        <v>883496000</v>
      </c>
      <c r="R87" s="23" t="s">
        <v>130</v>
      </c>
      <c r="S87" s="24">
        <f>K61</f>
        <v>1273853000</v>
      </c>
    </row>
    <row r="88" spans="1:19" ht="20" x14ac:dyDescent="0.25">
      <c r="A88" s="5" t="s">
        <v>74</v>
      </c>
      <c r="B88" s="1">
        <v>-7246000</v>
      </c>
      <c r="C88" s="1">
        <v>-8110000</v>
      </c>
      <c r="D88" s="1">
        <v>-31776000</v>
      </c>
      <c r="E88" s="1">
        <v>-34213000</v>
      </c>
      <c r="F88" s="1">
        <v>-15129000</v>
      </c>
      <c r="G88" s="1">
        <v>-30209000</v>
      </c>
      <c r="H88" s="1">
        <v>-44192000</v>
      </c>
      <c r="I88" s="1">
        <v>-35709000</v>
      </c>
      <c r="J88" s="1">
        <v>-31520000</v>
      </c>
      <c r="K88" s="1">
        <v>-70583000</v>
      </c>
      <c r="R88" s="33" t="s">
        <v>131</v>
      </c>
      <c r="S88" s="34">
        <f>S85/(S86+S87)</f>
        <v>1.9645627090638124E-2</v>
      </c>
    </row>
    <row r="89" spans="1:19" ht="20" customHeight="1" x14ac:dyDescent="0.25">
      <c r="A89" s="14" t="s">
        <v>105</v>
      </c>
      <c r="B89" s="15">
        <f t="shared" ref="B89:K89" si="7">(-1*B88)/B3</f>
        <v>4.8790670114199526E-2</v>
      </c>
      <c r="C89" s="15">
        <f t="shared" si="7"/>
        <v>3.7701816288486303E-2</v>
      </c>
      <c r="D89" s="15">
        <f t="shared" si="7"/>
        <v>9.9448862516078762E-2</v>
      </c>
      <c r="E89" s="15">
        <f t="shared" si="7"/>
        <v>7.4854832428269499E-2</v>
      </c>
      <c r="F89" s="15">
        <f t="shared" si="7"/>
        <v>2.4404132039436328E-2</v>
      </c>
      <c r="G89" s="15">
        <f t="shared" si="7"/>
        <v>3.4566050689398706E-2</v>
      </c>
      <c r="H89" s="15">
        <f t="shared" si="7"/>
        <v>3.6518481118097523E-2</v>
      </c>
      <c r="I89" s="15">
        <f t="shared" si="7"/>
        <v>2.212216410508663E-2</v>
      </c>
      <c r="J89" s="15">
        <f t="shared" si="7"/>
        <v>1.5087605761627317E-2</v>
      </c>
      <c r="K89" s="15">
        <f t="shared" si="7"/>
        <v>2.5182294509722494E-2</v>
      </c>
      <c r="R89" s="23" t="s">
        <v>106</v>
      </c>
      <c r="S89" s="24">
        <f>K27</f>
        <v>49552000</v>
      </c>
    </row>
    <row r="90" spans="1:19" ht="20" x14ac:dyDescent="0.25">
      <c r="A90" s="5" t="s">
        <v>75</v>
      </c>
      <c r="B90" s="1" t="s">
        <v>92</v>
      </c>
      <c r="C90" s="1" t="s">
        <v>92</v>
      </c>
      <c r="D90" s="1">
        <v>-10615000</v>
      </c>
      <c r="E90" s="1" t="s">
        <v>92</v>
      </c>
      <c r="F90" s="1">
        <v>-381090000</v>
      </c>
      <c r="G90" s="1" t="s">
        <v>92</v>
      </c>
      <c r="H90" s="1">
        <v>-418595000</v>
      </c>
      <c r="I90" s="1">
        <v>-53212000</v>
      </c>
      <c r="J90" s="1">
        <v>-91584000</v>
      </c>
      <c r="K90" s="1">
        <v>-12377000</v>
      </c>
      <c r="R90" s="23" t="s">
        <v>19</v>
      </c>
      <c r="S90" s="24">
        <f>K25</f>
        <v>-564572000</v>
      </c>
    </row>
    <row r="91" spans="1:19" ht="20" x14ac:dyDescent="0.25">
      <c r="A91" s="5" t="s">
        <v>76</v>
      </c>
      <c r="B91" s="1">
        <v>-12191000</v>
      </c>
      <c r="C91" s="1">
        <v>-45498000</v>
      </c>
      <c r="D91" s="1">
        <v>-50033000</v>
      </c>
      <c r="E91" s="1">
        <v>-569067000</v>
      </c>
      <c r="F91" s="1">
        <v>-423540000</v>
      </c>
      <c r="G91" s="1">
        <v>-347822000</v>
      </c>
      <c r="H91" s="1">
        <v>-648036000</v>
      </c>
      <c r="I91" s="1">
        <v>-985931000</v>
      </c>
      <c r="J91" s="1">
        <v>-119431000</v>
      </c>
      <c r="K91" s="1">
        <v>-132671000</v>
      </c>
      <c r="R91" s="33" t="s">
        <v>132</v>
      </c>
      <c r="S91" s="34">
        <f>S89/S90</f>
        <v>-8.7769141934066874E-2</v>
      </c>
    </row>
    <row r="92" spans="1:19" ht="20" x14ac:dyDescent="0.25">
      <c r="A92" s="5" t="s">
        <v>77</v>
      </c>
      <c r="B92" s="1">
        <v>7095000</v>
      </c>
      <c r="C92" s="1">
        <v>11641000</v>
      </c>
      <c r="D92" s="1">
        <v>64758000</v>
      </c>
      <c r="E92" s="1">
        <v>114795000</v>
      </c>
      <c r="F92" s="1">
        <v>600075000</v>
      </c>
      <c r="G92" s="1">
        <v>329981000</v>
      </c>
      <c r="H92" s="1">
        <v>505566000</v>
      </c>
      <c r="I92" s="1">
        <v>758766000</v>
      </c>
      <c r="J92" s="1">
        <v>503782000</v>
      </c>
      <c r="K92" s="1">
        <v>263199000</v>
      </c>
      <c r="R92" s="35" t="s">
        <v>133</v>
      </c>
      <c r="S92" s="36">
        <f>S88*(1-S91)</f>
        <v>2.1369906923140093E-2</v>
      </c>
    </row>
    <row r="93" spans="1:19" ht="19" x14ac:dyDescent="0.25">
      <c r="A93" s="5" t="s">
        <v>78</v>
      </c>
      <c r="B93" s="1">
        <v>-100000</v>
      </c>
      <c r="C93" s="1">
        <v>-4587000</v>
      </c>
      <c r="D93" s="1">
        <v>-900000</v>
      </c>
      <c r="E93" s="1">
        <v>-1025000</v>
      </c>
      <c r="F93" s="1">
        <v>-4889000</v>
      </c>
      <c r="G93" s="1">
        <v>-3646000</v>
      </c>
      <c r="H93" s="1">
        <v>1059000</v>
      </c>
      <c r="I93" s="1">
        <v>-2845000</v>
      </c>
      <c r="J93" s="1">
        <v>-4603000</v>
      </c>
      <c r="K93" s="1">
        <v>-716000</v>
      </c>
      <c r="R93" s="63" t="s">
        <v>134</v>
      </c>
      <c r="S93" s="64"/>
    </row>
    <row r="94" spans="1:19" ht="20" x14ac:dyDescent="0.25">
      <c r="A94" s="6" t="s">
        <v>79</v>
      </c>
      <c r="B94" s="10">
        <v>-12442000</v>
      </c>
      <c r="C94" s="10">
        <v>-46554000</v>
      </c>
      <c r="D94" s="10">
        <v>-28566000</v>
      </c>
      <c r="E94" s="10">
        <v>-489510000</v>
      </c>
      <c r="F94" s="10">
        <v>-224573000</v>
      </c>
      <c r="G94" s="10">
        <v>-51696000</v>
      </c>
      <c r="H94" s="10">
        <v>-604198000</v>
      </c>
      <c r="I94" s="10">
        <v>-318931000</v>
      </c>
      <c r="J94" s="10">
        <v>256644000</v>
      </c>
      <c r="K94" s="10">
        <v>46852000</v>
      </c>
      <c r="R94" s="23" t="s">
        <v>135</v>
      </c>
      <c r="S94" s="37">
        <v>4.095E-2</v>
      </c>
    </row>
    <row r="95" spans="1:19" ht="20" x14ac:dyDescent="0.25">
      <c r="A95" s="5" t="s">
        <v>80</v>
      </c>
      <c r="B95" s="1" t="s">
        <v>92</v>
      </c>
      <c r="C95" s="1" t="s">
        <v>92</v>
      </c>
      <c r="D95" s="1" t="s">
        <v>92</v>
      </c>
      <c r="E95" s="1" t="s">
        <v>92</v>
      </c>
      <c r="F95" s="1" t="s">
        <v>92</v>
      </c>
      <c r="G95" s="1" t="s">
        <v>92</v>
      </c>
      <c r="H95" s="1" t="s">
        <v>92</v>
      </c>
      <c r="I95" s="1">
        <v>-38127000</v>
      </c>
      <c r="J95" s="1">
        <v>-1848118000</v>
      </c>
      <c r="K95" s="1">
        <v>-1597828000</v>
      </c>
      <c r="R95" s="23" t="s">
        <v>136</v>
      </c>
      <c r="S95" s="38" cm="1">
        <f t="array" ref="S95">_FV(A1,"Beta")</f>
        <v>0.8125</v>
      </c>
    </row>
    <row r="96" spans="1:19" ht="20" x14ac:dyDescent="0.25">
      <c r="A96" s="5" t="s">
        <v>81</v>
      </c>
      <c r="B96" s="1" t="s">
        <v>92</v>
      </c>
      <c r="C96" s="1" t="s">
        <v>92</v>
      </c>
      <c r="D96" s="1" t="s">
        <v>92</v>
      </c>
      <c r="E96" s="1">
        <v>431447000</v>
      </c>
      <c r="F96" s="1" t="s">
        <v>92</v>
      </c>
      <c r="G96" s="1" t="s">
        <v>92</v>
      </c>
      <c r="H96" s="1" t="s">
        <v>92</v>
      </c>
      <c r="I96" s="1" t="s">
        <v>92</v>
      </c>
      <c r="J96" s="1" t="s">
        <v>92</v>
      </c>
      <c r="K96" s="1" t="s">
        <v>92</v>
      </c>
      <c r="R96" s="23" t="s">
        <v>137</v>
      </c>
      <c r="S96" s="37">
        <v>8.4000000000000005E-2</v>
      </c>
    </row>
    <row r="97" spans="1:19" ht="20" x14ac:dyDescent="0.25">
      <c r="A97" s="5" t="s">
        <v>82</v>
      </c>
      <c r="B97" s="1" t="s">
        <v>92</v>
      </c>
      <c r="C97" s="1" t="s">
        <v>92</v>
      </c>
      <c r="D97" s="1" t="s">
        <v>92</v>
      </c>
      <c r="E97" s="1" t="s">
        <v>92</v>
      </c>
      <c r="F97" s="1" t="s">
        <v>92</v>
      </c>
      <c r="G97" s="1" t="s">
        <v>92</v>
      </c>
      <c r="H97" s="1" t="s">
        <v>92</v>
      </c>
      <c r="I97" s="1" t="s">
        <v>92</v>
      </c>
      <c r="J97" s="1" t="s">
        <v>92</v>
      </c>
      <c r="K97" s="1" t="s">
        <v>92</v>
      </c>
      <c r="R97" s="35" t="s">
        <v>138</v>
      </c>
      <c r="S97" s="36">
        <f>(S94)+((S95)*(S96-S94))</f>
        <v>7.5928125000000013E-2</v>
      </c>
    </row>
    <row r="98" spans="1:19" ht="19" x14ac:dyDescent="0.25">
      <c r="A98" s="5" t="s">
        <v>83</v>
      </c>
      <c r="B98" s="1">
        <v>-2201000</v>
      </c>
      <c r="C98" s="1">
        <v>-10000000</v>
      </c>
      <c r="D98" s="1" t="s">
        <v>92</v>
      </c>
      <c r="E98" s="1" t="s">
        <v>92</v>
      </c>
      <c r="F98" s="1" t="s">
        <v>92</v>
      </c>
      <c r="G98" s="1" t="s">
        <v>92</v>
      </c>
      <c r="H98" s="1" t="s">
        <v>92</v>
      </c>
      <c r="I98" s="1" t="s">
        <v>92</v>
      </c>
      <c r="J98" s="1" t="s">
        <v>92</v>
      </c>
      <c r="K98" s="1" t="s">
        <v>92</v>
      </c>
      <c r="R98" s="63" t="s">
        <v>139</v>
      </c>
      <c r="S98" s="64"/>
    </row>
    <row r="99" spans="1:19" ht="20" x14ac:dyDescent="0.25">
      <c r="A99" s="5" t="s">
        <v>84</v>
      </c>
      <c r="B99" s="1">
        <v>5042000</v>
      </c>
      <c r="C99" s="1">
        <v>7429000</v>
      </c>
      <c r="D99" s="1">
        <v>2338000</v>
      </c>
      <c r="E99" s="1">
        <v>1337000</v>
      </c>
      <c r="F99" s="1">
        <v>9438000</v>
      </c>
      <c r="G99" s="1">
        <v>906789000</v>
      </c>
      <c r="H99" s="1">
        <v>-3187000</v>
      </c>
      <c r="I99" s="1">
        <v>-4448000</v>
      </c>
      <c r="J99" s="1">
        <v>193313000</v>
      </c>
      <c r="K99" s="1">
        <v>1136096000</v>
      </c>
      <c r="R99" s="23" t="s">
        <v>140</v>
      </c>
      <c r="S99" s="24">
        <f>S86+S87</f>
        <v>1314491000</v>
      </c>
    </row>
    <row r="100" spans="1:19" ht="20" x14ac:dyDescent="0.25">
      <c r="A100" s="6" t="s">
        <v>85</v>
      </c>
      <c r="B100" s="10">
        <v>2841000</v>
      </c>
      <c r="C100" s="10">
        <v>-2571000</v>
      </c>
      <c r="D100" s="10">
        <v>2338000</v>
      </c>
      <c r="E100" s="10">
        <v>432784000</v>
      </c>
      <c r="F100" s="10">
        <v>9438000</v>
      </c>
      <c r="G100" s="10">
        <v>906789000</v>
      </c>
      <c r="H100" s="10">
        <v>-3187000</v>
      </c>
      <c r="I100" s="10">
        <v>-42575000</v>
      </c>
      <c r="J100" s="10">
        <v>-1654805000</v>
      </c>
      <c r="K100" s="10">
        <v>-461732000</v>
      </c>
      <c r="R100" s="33" t="s">
        <v>141</v>
      </c>
      <c r="S100" s="34">
        <f>S99/S103</f>
        <v>3.3625591908478622E-2</v>
      </c>
    </row>
    <row r="101" spans="1:19" ht="20" x14ac:dyDescent="0.25">
      <c r="A101" s="5" t="s">
        <v>86</v>
      </c>
      <c r="B101" s="1">
        <v>-1349000</v>
      </c>
      <c r="C101" s="1">
        <v>445000</v>
      </c>
      <c r="D101" s="1">
        <v>-1665000</v>
      </c>
      <c r="E101" s="1">
        <v>-201000</v>
      </c>
      <c r="F101" s="1">
        <v>465000</v>
      </c>
      <c r="G101" s="1">
        <v>-630000</v>
      </c>
      <c r="H101" s="1">
        <v>-855000</v>
      </c>
      <c r="I101" s="1">
        <v>-1176000</v>
      </c>
      <c r="J101" s="1">
        <v>5406000</v>
      </c>
      <c r="K101" s="1">
        <v>-9194000</v>
      </c>
      <c r="R101" s="23" t="s">
        <v>142</v>
      </c>
      <c r="S101" s="39" cm="1">
        <f t="array" ref="S101">_FV(A1,"Market cap",TRUE)</f>
        <v>37777490000</v>
      </c>
    </row>
    <row r="102" spans="1:19" ht="20" x14ac:dyDescent="0.25">
      <c r="A102" s="6" t="s">
        <v>87</v>
      </c>
      <c r="B102" s="10">
        <v>43360000</v>
      </c>
      <c r="C102" s="10">
        <v>26600000</v>
      </c>
      <c r="D102" s="10">
        <v>70328000</v>
      </c>
      <c r="E102" s="10">
        <v>72615000</v>
      </c>
      <c r="F102" s="10">
        <v>-15289000</v>
      </c>
      <c r="G102" s="10">
        <v>1165919000</v>
      </c>
      <c r="H102" s="10">
        <v>-141898000</v>
      </c>
      <c r="I102" s="10">
        <v>211528000</v>
      </c>
      <c r="J102" s="10">
        <v>-560742000</v>
      </c>
      <c r="K102" s="10">
        <v>466038000</v>
      </c>
      <c r="R102" s="33" t="s">
        <v>143</v>
      </c>
      <c r="S102" s="34">
        <f>S101/S103</f>
        <v>0.96637440809152142</v>
      </c>
    </row>
    <row r="103" spans="1:19" ht="20" x14ac:dyDescent="0.25">
      <c r="A103" s="5" t="s">
        <v>88</v>
      </c>
      <c r="B103" s="1">
        <v>46806000</v>
      </c>
      <c r="C103" s="1">
        <v>90166000</v>
      </c>
      <c r="D103" s="1">
        <v>116766000</v>
      </c>
      <c r="E103" s="1">
        <v>187094000</v>
      </c>
      <c r="F103" s="1">
        <v>259709000</v>
      </c>
      <c r="G103" s="1">
        <v>244420000</v>
      </c>
      <c r="H103" s="1">
        <v>1410339000</v>
      </c>
      <c r="I103" s="1">
        <v>1268441000</v>
      </c>
      <c r="J103" s="1">
        <v>1479969000</v>
      </c>
      <c r="K103" s="1">
        <v>919227000</v>
      </c>
      <c r="R103" s="35" t="s">
        <v>144</v>
      </c>
      <c r="S103" s="40">
        <f>S99+S101</f>
        <v>39091981000</v>
      </c>
    </row>
    <row r="104" spans="1:19" ht="20" thickBot="1" x14ac:dyDescent="0.3">
      <c r="A104" s="7" t="s">
        <v>89</v>
      </c>
      <c r="B104" s="11">
        <v>90166000</v>
      </c>
      <c r="C104" s="11">
        <v>116766000</v>
      </c>
      <c r="D104" s="11">
        <v>187094000</v>
      </c>
      <c r="E104" s="11">
        <v>259709000</v>
      </c>
      <c r="F104" s="11">
        <v>244420000</v>
      </c>
      <c r="G104" s="11">
        <v>1410339000</v>
      </c>
      <c r="H104" s="11">
        <v>1268441000</v>
      </c>
      <c r="I104" s="11">
        <v>1479969000</v>
      </c>
      <c r="J104" s="11">
        <v>919227000</v>
      </c>
      <c r="K104" s="11">
        <v>1385265000</v>
      </c>
      <c r="R104" s="63" t="s">
        <v>145</v>
      </c>
      <c r="S104" s="64"/>
    </row>
    <row r="105" spans="1:19" ht="21" thickTop="1" x14ac:dyDescent="0.25">
      <c r="A105" s="14" t="s">
        <v>107</v>
      </c>
      <c r="B105" s="1"/>
      <c r="C105" s="15">
        <f>(C106/B106)-1</f>
        <v>0.38154428012918573</v>
      </c>
      <c r="D105" s="15">
        <f>(D106/C106)-1</f>
        <v>8.0589348056780974E-3</v>
      </c>
      <c r="E105" s="15">
        <f>(E106/D106)-1</f>
        <v>0.45440537035624384</v>
      </c>
      <c r="F105" s="15">
        <f>(F106/E106)-1</f>
        <v>0.92309790305153738</v>
      </c>
      <c r="G105" s="15">
        <f>(G106/F106)-1</f>
        <v>0.5341275425878349</v>
      </c>
      <c r="H105" s="15">
        <f t="shared" ref="H105:K105" si="8">(H106/G106)-1</f>
        <v>0.4934914861314077</v>
      </c>
      <c r="I105" s="15">
        <f t="shared" si="8"/>
        <v>0.28202314065327116</v>
      </c>
      <c r="J105" s="15">
        <f t="shared" si="8"/>
        <v>0.50048003624877202</v>
      </c>
      <c r="K105" s="15">
        <f t="shared" si="8"/>
        <v>1.0952834742143924E-3</v>
      </c>
      <c r="L105" s="15"/>
      <c r="M105" s="15"/>
      <c r="N105" s="15"/>
      <c r="O105" s="15"/>
      <c r="P105" s="15"/>
      <c r="Q105" s="15"/>
      <c r="R105" s="25" t="s">
        <v>108</v>
      </c>
      <c r="S105" s="26">
        <f>(S100*S92)+(S102*S97)</f>
        <v>7.4093572623693732E-2</v>
      </c>
    </row>
    <row r="106" spans="1:19" ht="19" x14ac:dyDescent="0.25">
      <c r="A106" s="5" t="s">
        <v>90</v>
      </c>
      <c r="B106" s="1">
        <v>47064000</v>
      </c>
      <c r="C106" s="1">
        <v>65021000</v>
      </c>
      <c r="D106" s="1">
        <v>65545000</v>
      </c>
      <c r="E106" s="1">
        <v>95329000</v>
      </c>
      <c r="F106" s="1">
        <v>183327000</v>
      </c>
      <c r="G106" s="1">
        <v>281247000</v>
      </c>
      <c r="H106" s="1">
        <v>420040000</v>
      </c>
      <c r="I106" s="1">
        <v>538501000</v>
      </c>
      <c r="J106" s="1">
        <v>808010000</v>
      </c>
      <c r="K106" s="1">
        <v>808895000</v>
      </c>
      <c r="L106" s="41">
        <f>K106*(1+$S$106)</f>
        <v>1003590419.8547691</v>
      </c>
      <c r="M106" s="41">
        <f t="shared" ref="M106:P106" si="9">L106*(1+$S$106)</f>
        <v>1245147677.787935</v>
      </c>
      <c r="N106" s="41">
        <f t="shared" si="9"/>
        <v>1544846093.41433</v>
      </c>
      <c r="O106" s="41">
        <f t="shared" si="9"/>
        <v>1916679840.4004071</v>
      </c>
      <c r="P106" s="41">
        <f t="shared" si="9"/>
        <v>2378011393.0171609</v>
      </c>
      <c r="Q106" s="42" t="s">
        <v>146</v>
      </c>
      <c r="R106" s="43" t="s">
        <v>147</v>
      </c>
      <c r="S106" s="44">
        <f>(SUM(L4:P4)/5)</f>
        <v>0.24069306876018409</v>
      </c>
    </row>
    <row r="107" spans="1:19" ht="19" x14ac:dyDescent="0.25">
      <c r="A107" s="5"/>
      <c r="B107" s="13"/>
      <c r="C107" s="13"/>
      <c r="D107" s="13"/>
      <c r="E107" s="13"/>
      <c r="F107" s="13"/>
      <c r="G107" s="13"/>
      <c r="H107" s="13"/>
      <c r="I107" s="13"/>
      <c r="J107" s="13"/>
      <c r="K107" s="13"/>
      <c r="L107" s="42"/>
      <c r="M107" s="42"/>
      <c r="N107" s="42"/>
      <c r="O107" s="42"/>
      <c r="P107" s="45">
        <f>P106*(1+S107)/(S108-S107)</f>
        <v>49649303311.574692</v>
      </c>
      <c r="Q107" s="46" t="s">
        <v>148</v>
      </c>
      <c r="R107" s="47" t="s">
        <v>149</v>
      </c>
      <c r="S107" s="48">
        <v>2.5000000000000001E-2</v>
      </c>
    </row>
    <row r="108" spans="1:19" ht="19" x14ac:dyDescent="0.25">
      <c r="L108" s="45">
        <f t="shared" ref="L108:N108" si="10">L107+L106</f>
        <v>1003590419.8547691</v>
      </c>
      <c r="M108" s="45">
        <f t="shared" si="10"/>
        <v>1245147677.787935</v>
      </c>
      <c r="N108" s="45">
        <f t="shared" si="10"/>
        <v>1544846093.41433</v>
      </c>
      <c r="O108" s="45">
        <f>O107+O106</f>
        <v>1916679840.4004071</v>
      </c>
      <c r="P108" s="45">
        <f>P107+P106</f>
        <v>52027314704.59185</v>
      </c>
      <c r="Q108" s="46" t="s">
        <v>144</v>
      </c>
      <c r="R108" s="49" t="s">
        <v>150</v>
      </c>
      <c r="S108" s="50">
        <f>S105</f>
        <v>7.4093572623693732E-2</v>
      </c>
    </row>
    <row r="109" spans="1:19" ht="19" x14ac:dyDescent="0.25">
      <c r="L109" s="59" t="s">
        <v>151</v>
      </c>
      <c r="M109" s="60"/>
    </row>
    <row r="110" spans="1:19" ht="20" x14ac:dyDescent="0.25">
      <c r="L110" s="51" t="s">
        <v>152</v>
      </c>
      <c r="M110" s="39">
        <f>NPV(S108,L108,M108,N108,O108,P108)</f>
        <v>41093647813.47036</v>
      </c>
    </row>
    <row r="111" spans="1:19" ht="20" x14ac:dyDescent="0.25">
      <c r="L111" s="51" t="s">
        <v>153</v>
      </c>
      <c r="M111" s="39">
        <f>K40</f>
        <v>1458559000</v>
      </c>
    </row>
    <row r="112" spans="1:19" ht="20" x14ac:dyDescent="0.25">
      <c r="L112" s="51" t="s">
        <v>140</v>
      </c>
      <c r="M112" s="39">
        <f>S99</f>
        <v>1314491000</v>
      </c>
    </row>
    <row r="113" spans="12:13" ht="20" x14ac:dyDescent="0.25">
      <c r="L113" s="51" t="s">
        <v>154</v>
      </c>
      <c r="M113" s="39">
        <f>M110+M111-M112</f>
        <v>41237715813.47036</v>
      </c>
    </row>
    <row r="114" spans="12:13" ht="20" x14ac:dyDescent="0.25">
      <c r="L114" s="51" t="s">
        <v>155</v>
      </c>
      <c r="M114" s="52">
        <f>K34*(1+(5*Q16))</f>
        <v>286968442.84466374</v>
      </c>
    </row>
    <row r="115" spans="12:13" ht="20" x14ac:dyDescent="0.25">
      <c r="L115" s="53" t="s">
        <v>156</v>
      </c>
      <c r="M115" s="58">
        <f>M113/M114</f>
        <v>143.70122165590303</v>
      </c>
    </row>
    <row r="116" spans="12:13" ht="20" x14ac:dyDescent="0.25">
      <c r="L116" s="51" t="s">
        <v>157</v>
      </c>
      <c r="M116" s="54" cm="1">
        <f t="array" ref="M116">_FV(A1,"Price")</f>
        <v>146.99</v>
      </c>
    </row>
    <row r="117" spans="12:13" ht="20" x14ac:dyDescent="0.25">
      <c r="L117" s="55" t="s">
        <v>158</v>
      </c>
      <c r="M117" s="56">
        <f>M115/M116-1</f>
        <v>-2.2374163848540629E-2</v>
      </c>
    </row>
    <row r="118" spans="12:13" ht="20" x14ac:dyDescent="0.25">
      <c r="L118" s="55" t="s">
        <v>159</v>
      </c>
      <c r="M118" s="57" t="str">
        <f>IF(M115&gt;M116,"BUY","SELL")</f>
        <v>SELL</v>
      </c>
    </row>
  </sheetData>
  <mergeCells count="6">
    <mergeCell ref="L109:M109"/>
    <mergeCell ref="R83:S83"/>
    <mergeCell ref="R84:S84"/>
    <mergeCell ref="R93:S93"/>
    <mergeCell ref="R98:S98"/>
    <mergeCell ref="R104:S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650372/000165037216000018/0001650372-16-000018-index.html" xr:uid="{00000000-0004-0000-0000-00000A000000}"/>
    <hyperlink ref="E74" r:id="rId8" tooltip="https://www.sec.gov/Archives/edgar/data/1650372/000165037216000018/0001650372-16-000018-index.html" xr:uid="{00000000-0004-0000-0000-00000B000000}"/>
    <hyperlink ref="F36" r:id="rId9" tooltip="https://www.sec.gov/Archives/edgar/data/1650372/000165037217000022/0001650372-17-000022-index.html" xr:uid="{00000000-0004-0000-0000-00000D000000}"/>
    <hyperlink ref="F74" r:id="rId10" tooltip="https://www.sec.gov/Archives/edgar/data/1650372/000165037217000022/0001650372-17-000022-index.html" xr:uid="{00000000-0004-0000-0000-00000E000000}"/>
    <hyperlink ref="G36" r:id="rId11" tooltip="https://www.sec.gov/Archives/edgar/data/1650372/000165037218000038/0001650372-18-000038-index.html" xr:uid="{00000000-0004-0000-0000-000010000000}"/>
    <hyperlink ref="G74" r:id="rId12" tooltip="https://www.sec.gov/Archives/edgar/data/1650372/000165037218000038/0001650372-18-000038-index.html" xr:uid="{00000000-0004-0000-0000-000011000000}"/>
    <hyperlink ref="H36" r:id="rId13" tooltip="https://www.sec.gov/Archives/edgar/data/1650372/000165037219000020/a20-f06302019.htm" xr:uid="{00000000-0004-0000-0000-000013000000}"/>
    <hyperlink ref="H74" r:id="rId14" tooltip="https://www.sec.gov/Archives/edgar/data/1650372/000165037219000020/a20-f06302019.htm" xr:uid="{00000000-0004-0000-0000-000014000000}"/>
    <hyperlink ref="I36" r:id="rId15" tooltip="https://www.sec.gov/Archives/edgar/data/1650372/000165037220000030/0001650372-20-000030-index.htm" xr:uid="{00000000-0004-0000-0000-000016000000}"/>
    <hyperlink ref="I74" r:id="rId16" tooltip="https://www.sec.gov/Archives/edgar/data/1650372/000165037220000030/0001650372-20-000030-index.htm"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1" r:id="rId21" display="https://finbox.com/NASDAQGS:TEAM/explorer/revenue_proj" xr:uid="{1F57F08A-2130-0C4A-8B00-B11D90D9EB3F}"/>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2023-03-12T22:27:19Z</dcterms:created>
  <dcterms:modified xsi:type="dcterms:W3CDTF">2023-05-22T08:57:58Z</dcterms:modified>
</cp:coreProperties>
</file>