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80C2F8B-6199-0C48-A827-25AA8D5DD77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4" i="1" l="1"/>
  <c r="N116" i="1" a="1"/>
  <c r="N116" i="1" s="1"/>
  <c r="T101" i="1" a="1"/>
  <c r="T101" i="1" s="1"/>
  <c r="T95" i="1" a="1"/>
  <c r="T95" i="1" s="1"/>
  <c r="T97" i="1" s="1"/>
  <c r="N106" i="1"/>
  <c r="O106" i="1" s="1"/>
  <c r="P106" i="1" s="1"/>
  <c r="Q106" i="1" s="1"/>
  <c r="M106" i="1"/>
  <c r="N111" i="1"/>
  <c r="T90" i="1"/>
  <c r="T89" i="1"/>
  <c r="T91" i="1" s="1"/>
  <c r="T88" i="1"/>
  <c r="T92" i="1" s="1"/>
  <c r="T87" i="1"/>
  <c r="T86" i="1"/>
  <c r="T99" i="1" s="1"/>
  <c r="T85" i="1"/>
  <c r="R19" i="1"/>
  <c r="R16" i="1"/>
  <c r="U13" i="1"/>
  <c r="T13" i="1"/>
  <c r="S13" i="1"/>
  <c r="R13" i="1"/>
  <c r="U10" i="1"/>
  <c r="T10" i="1"/>
  <c r="S10" i="1"/>
  <c r="R10" i="1"/>
  <c r="U7" i="1"/>
  <c r="T7" i="1"/>
  <c r="S7" i="1"/>
  <c r="R7" i="1"/>
  <c r="U4" i="1"/>
  <c r="T4" i="1"/>
  <c r="S4" i="1"/>
  <c r="R4" i="1"/>
  <c r="Q4" i="1"/>
  <c r="P4" i="1"/>
  <c r="O4" i="1"/>
  <c r="N4" i="1"/>
  <c r="M4" i="1"/>
  <c r="L89" i="1"/>
  <c r="G35" i="1"/>
  <c r="H35" i="1"/>
  <c r="I35" i="1"/>
  <c r="J35" i="1"/>
  <c r="K35" i="1"/>
  <c r="L35" i="1"/>
  <c r="L4" i="1"/>
  <c r="G9" i="1"/>
  <c r="H9" i="1"/>
  <c r="I9" i="1"/>
  <c r="J9" i="1"/>
  <c r="K9" i="1"/>
  <c r="L9" i="1"/>
  <c r="G13" i="1"/>
  <c r="H13" i="1"/>
  <c r="I13" i="1"/>
  <c r="J13" i="1"/>
  <c r="K13" i="1"/>
  <c r="L13" i="1"/>
  <c r="G20" i="1"/>
  <c r="H20" i="1"/>
  <c r="I20" i="1"/>
  <c r="J20" i="1"/>
  <c r="K20" i="1"/>
  <c r="L20" i="1"/>
  <c r="G29" i="1"/>
  <c r="H29" i="1"/>
  <c r="I29" i="1"/>
  <c r="J29" i="1"/>
  <c r="K29" i="1"/>
  <c r="L29" i="1"/>
  <c r="G80" i="1"/>
  <c r="H80" i="1"/>
  <c r="I80" i="1"/>
  <c r="J80" i="1"/>
  <c r="K80" i="1"/>
  <c r="L80" i="1"/>
  <c r="G89" i="1"/>
  <c r="H89" i="1"/>
  <c r="I89" i="1"/>
  <c r="J89" i="1"/>
  <c r="K89" i="1"/>
  <c r="G105" i="1"/>
  <c r="H105" i="1"/>
  <c r="I105" i="1"/>
  <c r="J105" i="1"/>
  <c r="K105" i="1"/>
  <c r="L105"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K4" i="1"/>
  <c r="J4" i="1"/>
  <c r="I4" i="1"/>
  <c r="H4" i="1"/>
  <c r="G4" i="1"/>
  <c r="F4" i="1"/>
  <c r="E4" i="1"/>
  <c r="D4" i="1"/>
  <c r="C4" i="1"/>
  <c r="U16" i="1" l="1"/>
  <c r="S16" i="1"/>
  <c r="T16" i="1"/>
  <c r="T106" i="1"/>
  <c r="T103" i="1"/>
  <c r="T102" i="1" s="1"/>
  <c r="N112" i="1"/>
  <c r="T100" i="1" l="1"/>
  <c r="T105" i="1" s="1"/>
  <c r="T108" i="1" s="1"/>
  <c r="M108" i="1" l="1"/>
  <c r="P108" i="1"/>
  <c r="O108" i="1"/>
  <c r="N108" i="1"/>
  <c r="Q107" i="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<sst xmlns="http://schemas.openxmlformats.org/spreadsheetml/2006/main" count="393" uniqueCount="160">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</sst>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BOX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374917053749166E-2"/>
          <c:y val="0.12411764705882353"/>
          <c:w val="0.85755806237558063"/>
          <c:h val="0.753452081277564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58797000</c:v>
                </c:pt>
                <c:pt idx="1">
                  <c:v>124192000</c:v>
                </c:pt>
                <c:pt idx="2">
                  <c:v>216440000</c:v>
                </c:pt>
                <c:pt idx="3">
                  <c:v>302704000</c:v>
                </c:pt>
                <c:pt idx="4">
                  <c:v>398605000</c:v>
                </c:pt>
                <c:pt idx="5">
                  <c:v>506142000</c:v>
                </c:pt>
                <c:pt idx="6">
                  <c:v>608386000</c:v>
                </c:pt>
                <c:pt idx="7">
                  <c:v>696264000</c:v>
                </c:pt>
                <c:pt idx="8">
                  <c:v>770770000</c:v>
                </c:pt>
                <c:pt idx="9">
                  <c:v>874332000</c:v>
                </c:pt>
                <c:pt idx="10">
                  <c:v>990874000</c:v>
                </c:pt>
              </c:numCache>
            </c:numRef>
          </c:val>
          <c:extLst>
            <c:ext xmlns:c16="http://schemas.microsoft.com/office/drawing/2014/chart" uri="{C3380CC4-5D6E-409C-BE32-E72D297353CC}">
              <c16:uniqueId val="{00000000-BCFD-A644-BA0F-BAFE05A2AC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-102124000</c:v>
                </c:pt>
                <c:pt idx="1">
                  <c:v>-149416000</c:v>
                </c:pt>
                <c:pt idx="2">
                  <c:v>-137768000</c:v>
                </c:pt>
                <c:pt idx="3">
                  <c:v>-160707000</c:v>
                </c:pt>
                <c:pt idx="4">
                  <c:v>-109823000</c:v>
                </c:pt>
                <c:pt idx="5">
                  <c:v>-113120000</c:v>
                </c:pt>
                <c:pt idx="6">
                  <c:v>-86578000</c:v>
                </c:pt>
                <c:pt idx="7">
                  <c:v>-81176000</c:v>
                </c:pt>
                <c:pt idx="8">
                  <c:v>40262000</c:v>
                </c:pt>
                <c:pt idx="9">
                  <c:v>30932000</c:v>
                </c:pt>
                <c:pt idx="10">
                  <c:v>84612000</c:v>
                </c:pt>
              </c:numCache>
            </c:numRef>
          </c:val>
          <c:extLst>
            <c:ext xmlns:c16="http://schemas.microsoft.com/office/drawing/2014/chart" uri="{C3380CC4-5D6E-409C-BE32-E72D297353CC}">
              <c16:uniqueId val="{00000001-BCFD-A644-BA0F-BAFE05A2AC7E}"/>
            </c:ext>
          </c:extLst>
        </c:ser>
        <c:ser>
          <c:idx val="2"/>
          <c:order val="2"/>
          <c:tx>
            <c:strRef>
              <c:f>'Sheet 1'!$A$106</c:f>
              <c:strCache>
                <c:ptCount val="1"/>
                <c:pt idx="0">
                  <c:v>Free Cash Flow</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invertIfNegative val="0"/>
          <c:val>
            <c:numRef>
              <c:f>'Sheet 1'!$B$106:$L$106</c:f>
              <c:numCache>
                <c:formatCode>#,###,,;\(#,###,,\);\ \-\ \-</c:formatCode>
                <c:ptCount val="11"/>
                <c:pt idx="0">
                  <c:v>-101312000</c:v>
                </c:pt>
                <c:pt idx="1">
                  <c:v>-123954000</c:v>
                </c:pt>
                <c:pt idx="2">
                  <c:v>-123783000</c:v>
                </c:pt>
                <c:pt idx="3">
                  <c:v>-139531000</c:v>
                </c:pt>
                <c:pt idx="4">
                  <c:v>-16174000</c:v>
                </c:pt>
                <c:pt idx="5">
                  <c:v>50000000</c:v>
                </c:pt>
                <c:pt idx="6">
                  <c:v>37752000</c:v>
                </c:pt>
                <c:pt idx="7">
                  <c:v>31304000</c:v>
                </c:pt>
                <c:pt idx="8">
                  <c:v>180344000</c:v>
                </c:pt>
                <c:pt idx="9">
                  <c:v>224331000</c:v>
                </c:pt>
                <c:pt idx="10">
                  <c:v>285918000</c:v>
                </c:pt>
              </c:numCache>
            </c:numRef>
          </c:val>
          <c:extLst>
            <c:ext xmlns:c16="http://schemas.microsoft.com/office/drawing/2014/chart" uri="{C3380CC4-5D6E-409C-BE32-E72D297353CC}">
              <c16:uniqueId val="{00000002-BCFD-A644-BA0F-BAFE05A2AC7E}"/>
            </c:ext>
          </c:extLst>
        </c:ser>
        <c:dLbls>
          <c:showLegendKey val="0"/>
          <c:showVal val="0"/>
          <c:showCatName val="0"/>
          <c:showSerName val="0"/>
          <c:showPercent val="0"/>
          <c:showBubbleSize val="0"/>
        </c:dLbls>
        <c:gapWidth val="100"/>
        <c:overlap val="-24"/>
        <c:axId val="1858270143"/>
        <c:axId val="1875592623"/>
      </c:barChart>
      <c:catAx>
        <c:axId val="1858270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592623"/>
        <c:crosses val="autoZero"/>
        <c:auto val="1"/>
        <c:lblAlgn val="ctr"/>
        <c:lblOffset val="100"/>
        <c:noMultiLvlLbl val="0"/>
      </c:catAx>
      <c:valAx>
        <c:axId val="18755926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858270143"/>
        <c:crosses val="autoZero"/>
        <c:crossBetween val="between"/>
      </c:valAx>
      <c:spPr>
        <a:noFill/>
        <a:ln>
          <a:noFill/>
        </a:ln>
        <a:effectLst/>
      </c:spPr>
    </c:plotArea>
    <c:legend>
      <c:legendPos val="b"/>
      <c:layout>
        <c:manualLayout>
          <c:xMode val="edge"/>
          <c:yMode val="edge"/>
          <c:x val="0.34792009990124823"/>
          <c:y val="0.90921098737338135"/>
          <c:w val="0.30415980019750349"/>
          <c:h val="5.242584127111988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25400</xdr:rowOff>
    </xdr:from>
    <xdr:to>
      <xdr:col>20</xdr:col>
      <xdr:colOff>0</xdr:colOff>
      <xdr:row>130</xdr:row>
      <xdr:rowOff>25400</xdr:rowOff>
    </xdr:to>
    <xdr:graphicFrame macro="">
      <xdr:nvGraphicFramePr>
        <xdr:cNvPr id="2" name="Chart 1">
          <a:extLst>
            <a:ext uri="{FF2B5EF4-FFF2-40B4-BE49-F238E27FC236}">
              <a16:creationId xmlns:a16="http://schemas.microsoft.com/office/drawing/2014/main" id="{A030500E-DBCF-3900-0FA3-C5FEA4663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https://www.bing.com/financeapi/forcetrigger?t=a1orc7&amp;q=XNYS%3aBOX&amp;form=skydnc</v>
    <v>Learn more on Bing</v>
  </rv>
  <rv s="1">
    <v>0</v>
    <v>BOX, INC. (XNYS:BOX)</v>
    <v>2</v>
    <v>3</v>
    <v>Finance</v>
    <v>4</v>
    <v>en-US</v>
    <v>a1orc7</v>
    <v>268435456</v>
    <v>1</v>
    <v>Powered by Refinitiv</v>
    <v>34.979999999999997</v>
    <v>22.31</v>
    <v>0.99890000000000001</v>
    <v>-0.26</v>
    <v>-9.3629999999999998E-3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27.93</v>
    <v>Software &amp; IT Services</v>
    <v>Stock</v>
    <v>45065.958333367969</v>
    <v>0</v>
    <v>27.49</v>
    <v>3984960000</v>
    <v>BOX, INC.</v>
    <v>BOX, INC.</v>
    <v>27.9</v>
    <v>689.30089999999996</v>
    <v>27.77</v>
    <v>27.51</v>
    <v>144855000</v>
    <v>BOX</v>
    <v>BOX, INC. (XNYS:BOX)</v>
    <v>822937</v>
    <v>956809</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2612/000156459016015649/0001564590-16-015649-index.html" TargetMode="External"/><Relationship Id="rId13" Type="http://schemas.openxmlformats.org/officeDocument/2006/relationships/hyperlink" Target="https://www.sec.gov/Archives/edgar/data/1372612/000156459018006572/0001564590-18-006572-index.html" TargetMode="External"/><Relationship Id="rId18" Type="http://schemas.openxmlformats.org/officeDocument/2006/relationships/hyperlink" Target="https://www.sec.gov/Archives/edgar/data/1372612/000156459021014377/0001564590-21-01437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2612/000095017022003913/0000950170-22-003913-index.htm" TargetMode="External"/><Relationship Id="rId7" Type="http://schemas.openxmlformats.org/officeDocument/2006/relationships/hyperlink" Target="https://www.sec.gov/Archives/edgar/data/1372612/000119312515112029/0001193125-15-112029-index.htm" TargetMode="External"/><Relationship Id="rId12" Type="http://schemas.openxmlformats.org/officeDocument/2006/relationships/hyperlink" Target="https://www.sec.gov/Archives/edgar/data/1372612/000156459018006572/0001564590-18-006572-index.html" TargetMode="External"/><Relationship Id="rId17" Type="http://schemas.openxmlformats.org/officeDocument/2006/relationships/hyperlink" Target="https://www.sec.gov/Archives/edgar/data/1372612/000156459020011799/0001564590-20-011799-index.html"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72612/000156459020011799/0001564590-20-011799-index.html" TargetMode="External"/><Relationship Id="rId20" Type="http://schemas.openxmlformats.org/officeDocument/2006/relationships/hyperlink" Target="https://www.sec.gov/Archives/edgar/data/1372612/000095017022003913/0000950170-22-003913-index.htm" TargetMode="External"/><Relationship Id="rId1" Type="http://schemas.openxmlformats.org/officeDocument/2006/relationships/hyperlink" Target="https://roic.ai/company/BOX" TargetMode="External"/><Relationship Id="rId6" Type="http://schemas.openxmlformats.org/officeDocument/2006/relationships/hyperlink" Target="https://www.sec.gov/Archives/edgar/data/1372612/000119312515112029/0001193125-15-112029-index.htm" TargetMode="External"/><Relationship Id="rId11" Type="http://schemas.openxmlformats.org/officeDocument/2006/relationships/hyperlink" Target="https://www.sec.gov/Archives/edgar/data/1372612/000156459017005227/0001564590-17-005227-index.html" TargetMode="External"/><Relationship Id="rId24" Type="http://schemas.openxmlformats.org/officeDocument/2006/relationships/hyperlink" Target="https://finbox.com/NYSE:BOX/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2612/000156459019008669/0001564590-19-008669-index.html" TargetMode="External"/><Relationship Id="rId23" Type="http://schemas.openxmlformats.org/officeDocument/2006/relationships/hyperlink" Target="https://sec.gov/" TargetMode="External"/><Relationship Id="rId10" Type="http://schemas.openxmlformats.org/officeDocument/2006/relationships/hyperlink" Target="https://www.sec.gov/Archives/edgar/data/1372612/000156459017005227/0001564590-17-005227-index.html" TargetMode="External"/><Relationship Id="rId19" Type="http://schemas.openxmlformats.org/officeDocument/2006/relationships/hyperlink" Target="https://www.sec.gov/Archives/edgar/data/1372612/000156459021014377/0001564590-21-01437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2612/000156459016015649/0001564590-16-015649-index.html" TargetMode="External"/><Relationship Id="rId14" Type="http://schemas.openxmlformats.org/officeDocument/2006/relationships/hyperlink" Target="https://www.sec.gov/Archives/edgar/data/1372612/000156459019008669/0001564590-19-008669-index.html"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Normal="100" workbookViewId="0">
      <pane xSplit="1" ySplit="1" topLeftCell="K100" activePane="bottomRight" state="frozen"/>
      <selection pane="topRight"/>
      <selection pane="bottomLeft"/>
      <selection pane="bottomRight" activeCell="M123" sqref="M123"/>
    </sheetView>
  </sheetViews>
  <sheetFormatPr baseColWidth="10" defaultRowHeight="16" x14ac:dyDescent="0.2"/>
  <cols>
    <col min="1" max="1" width="50" customWidth="1"/>
    <col min="2" max="12" width="15" customWidth="1"/>
    <col min="13" max="21" width="21" customWidth="1"/>
  </cols>
  <sheetData>
    <row r="1" spans="1:38" ht="22" thickBot="1" x14ac:dyDescent="0.3">
      <c r="A1" s="3" t="e" vm="1">
        <v>#VALUE!</v>
      </c>
      <c r="B1" s="8">
        <v>2013</v>
      </c>
      <c r="C1" s="8">
        <v>2014</v>
      </c>
      <c r="D1" s="8">
        <v>2015</v>
      </c>
      <c r="E1" s="8">
        <v>2016</v>
      </c>
      <c r="F1" s="8">
        <v>2017</v>
      </c>
      <c r="G1" s="8">
        <v>2018</v>
      </c>
      <c r="H1" s="8">
        <v>2019</v>
      </c>
      <c r="I1" s="8">
        <v>2020</v>
      </c>
      <c r="J1" s="8">
        <v>2021</v>
      </c>
      <c r="K1" s="8">
        <v>2022</v>
      </c>
      <c r="L1" s="8">
        <v>2023</v>
      </c>
      <c r="M1" s="28">
        <v>2024</v>
      </c>
      <c r="N1" s="28">
        <v>2025</v>
      </c>
      <c r="O1" s="28">
        <v>2026</v>
      </c>
      <c r="P1" s="28">
        <v>2027</v>
      </c>
      <c r="Q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38" ht="40" x14ac:dyDescent="0.25">
      <c r="A3" s="5" t="s">
        <v>1</v>
      </c>
      <c r="B3" s="1">
        <v>58797000</v>
      </c>
      <c r="C3" s="1">
        <v>124192000</v>
      </c>
      <c r="D3" s="1">
        <v>216440000</v>
      </c>
      <c r="E3" s="1">
        <v>302704000</v>
      </c>
      <c r="F3" s="1">
        <v>398605000</v>
      </c>
      <c r="G3" s="1">
        <v>506142000</v>
      </c>
      <c r="H3" s="1">
        <v>608386000</v>
      </c>
      <c r="I3" s="1">
        <v>696264000</v>
      </c>
      <c r="J3" s="1">
        <v>770770000</v>
      </c>
      <c r="K3" s="1">
        <v>874332000</v>
      </c>
      <c r="L3" s="1">
        <v>990874000</v>
      </c>
      <c r="M3" s="29">
        <v>1056000000</v>
      </c>
      <c r="N3" s="29">
        <v>1163000000</v>
      </c>
      <c r="O3" s="29">
        <v>1334000000</v>
      </c>
      <c r="P3" s="29">
        <v>1510000000</v>
      </c>
      <c r="Q3" s="29">
        <v>1682000000</v>
      </c>
      <c r="R3" s="19" t="s">
        <v>109</v>
      </c>
      <c r="S3" s="20" t="s">
        <v>110</v>
      </c>
      <c r="T3" s="20" t="s">
        <v>111</v>
      </c>
      <c r="U3" s="20" t="s">
        <v>112</v>
      </c>
    </row>
    <row r="4" spans="1:38" ht="19" x14ac:dyDescent="0.25">
      <c r="A4" s="14" t="s">
        <v>94</v>
      </c>
      <c r="B4" s="1"/>
      <c r="C4" s="15">
        <f>(C3/B3)-1</f>
        <v>1.1122166096909707</v>
      </c>
      <c r="D4" s="15">
        <f>(D3/C3)-1</f>
        <v>0.74278536459675348</v>
      </c>
      <c r="E4" s="15">
        <f>(E3/D3)-1</f>
        <v>0.39855849196082049</v>
      </c>
      <c r="F4" s="15">
        <f t="shared" ref="F4:Q4" si="0">(F3/E3)-1</f>
        <v>0.31681444579523221</v>
      </c>
      <c r="G4" s="16">
        <f t="shared" si="0"/>
        <v>0.26978336950113513</v>
      </c>
      <c r="H4" s="16">
        <f t="shared" si="0"/>
        <v>0.20200655152111469</v>
      </c>
      <c r="I4" s="16">
        <f t="shared" si="0"/>
        <v>0.14444448097096241</v>
      </c>
      <c r="J4" s="16">
        <f t="shared" si="0"/>
        <v>0.10700826123424445</v>
      </c>
      <c r="K4" s="16">
        <f t="shared" si="0"/>
        <v>0.13436174215395003</v>
      </c>
      <c r="L4" s="16">
        <f t="shared" si="0"/>
        <v>0.13329261653468016</v>
      </c>
      <c r="M4" s="16">
        <f t="shared" si="0"/>
        <v>6.5725813776524644E-2</v>
      </c>
      <c r="N4" s="16">
        <f t="shared" si="0"/>
        <v>0.10132575757575757</v>
      </c>
      <c r="O4" s="16">
        <f t="shared" si="0"/>
        <v>0.14703353396388641</v>
      </c>
      <c r="P4" s="16">
        <f t="shared" si="0"/>
        <v>0.13193403298350814</v>
      </c>
      <c r="Q4" s="16">
        <f t="shared" si="0"/>
        <v>0.11390728476821188</v>
      </c>
      <c r="R4" s="17">
        <f>(L4+K4+J4)/3</f>
        <v>0.12488753997429154</v>
      </c>
      <c r="S4" s="17">
        <f>(L20+K20+J20)/3</f>
        <v>2.5678136925541364E-3</v>
      </c>
      <c r="T4" s="17">
        <f>(L29+K29+J29)/3</f>
        <v>-0.65039876446779787</v>
      </c>
      <c r="U4" s="17">
        <f>(L105+K105+J105)/3</f>
        <v>1.7598317596887458</v>
      </c>
      <c r="V4" s="16"/>
      <c r="W4" s="16"/>
      <c r="X4" s="16"/>
      <c r="Y4" s="16"/>
      <c r="Z4" s="16"/>
      <c r="AA4" s="16"/>
      <c r="AB4" s="16"/>
      <c r="AC4" s="16"/>
      <c r="AD4" s="16"/>
      <c r="AE4" s="16"/>
      <c r="AF4" s="16"/>
      <c r="AI4" s="18"/>
      <c r="AJ4" s="18"/>
      <c r="AK4" s="18"/>
      <c r="AL4" s="18"/>
    </row>
    <row r="5" spans="1:38" ht="19" x14ac:dyDescent="0.25">
      <c r="A5" s="5" t="s">
        <v>2</v>
      </c>
      <c r="B5" s="1">
        <v>14280000</v>
      </c>
      <c r="C5" s="1">
        <v>25974000</v>
      </c>
      <c r="D5" s="1">
        <v>47273000</v>
      </c>
      <c r="E5" s="1">
        <v>87100000</v>
      </c>
      <c r="F5" s="1">
        <v>112130000</v>
      </c>
      <c r="G5" s="1">
        <v>135248000</v>
      </c>
      <c r="H5" s="1">
        <v>173594000</v>
      </c>
      <c r="I5" s="1">
        <v>215577000</v>
      </c>
      <c r="J5" s="1">
        <v>224738000</v>
      </c>
      <c r="K5" s="1">
        <v>249484000</v>
      </c>
      <c r="L5" s="1">
        <v>252556000</v>
      </c>
    </row>
    <row r="6" spans="1:38" ht="20" x14ac:dyDescent="0.25">
      <c r="A6" s="6" t="s">
        <v>3</v>
      </c>
      <c r="B6" s="10">
        <v>44517000</v>
      </c>
      <c r="C6" s="10">
        <v>98218000</v>
      </c>
      <c r="D6" s="10">
        <v>169167000</v>
      </c>
      <c r="E6" s="10">
        <v>215604000</v>
      </c>
      <c r="F6" s="10">
        <v>286475000</v>
      </c>
      <c r="G6" s="10">
        <v>370894000</v>
      </c>
      <c r="H6" s="10">
        <v>434792000</v>
      </c>
      <c r="I6" s="10">
        <v>480687000</v>
      </c>
      <c r="J6" s="10">
        <v>546032000</v>
      </c>
      <c r="K6" s="10">
        <v>624848000</v>
      </c>
      <c r="L6" s="10">
        <v>738318000</v>
      </c>
      <c r="R6" s="19" t="s">
        <v>113</v>
      </c>
      <c r="S6" s="20" t="s">
        <v>114</v>
      </c>
      <c r="T6" s="20" t="s">
        <v>115</v>
      </c>
      <c r="U6" s="20" t="s">
        <v>116</v>
      </c>
    </row>
    <row r="7" spans="1:38" ht="19" x14ac:dyDescent="0.25">
      <c r="A7" s="5" t="s">
        <v>4</v>
      </c>
      <c r="B7" s="2">
        <v>0.7571</v>
      </c>
      <c r="C7" s="2">
        <v>0.79090000000000005</v>
      </c>
      <c r="D7" s="2">
        <v>0.78159999999999996</v>
      </c>
      <c r="E7" s="2">
        <v>0.71230000000000004</v>
      </c>
      <c r="F7" s="2">
        <v>0.71870000000000001</v>
      </c>
      <c r="G7" s="2">
        <v>0.73280000000000001</v>
      </c>
      <c r="H7" s="2">
        <v>0.7147</v>
      </c>
      <c r="I7" s="2">
        <v>0.69040000000000001</v>
      </c>
      <c r="J7" s="2">
        <v>0.70840000000000003</v>
      </c>
      <c r="K7" s="2">
        <v>0.7147</v>
      </c>
      <c r="L7" s="2">
        <v>0.74509999999999998</v>
      </c>
      <c r="R7" s="17">
        <f>L7</f>
        <v>0.74509999999999998</v>
      </c>
      <c r="S7" s="21">
        <f>L21</f>
        <v>8.5400000000000004E-2</v>
      </c>
      <c r="T7" s="21">
        <f>L30</f>
        <v>8.6E-3</v>
      </c>
      <c r="U7" s="21">
        <f>L106/L3</f>
        <v>0.28855131934029959</v>
      </c>
    </row>
    <row r="8" spans="1:38" ht="19" x14ac:dyDescent="0.25">
      <c r="A8" s="5" t="s">
        <v>5</v>
      </c>
      <c r="B8" s="1">
        <v>28996000</v>
      </c>
      <c r="C8" s="1">
        <v>45967000</v>
      </c>
      <c r="D8" s="1">
        <v>66402000</v>
      </c>
      <c r="E8" s="1">
        <v>102500000</v>
      </c>
      <c r="F8" s="1">
        <v>115928000</v>
      </c>
      <c r="G8" s="1">
        <v>136791000</v>
      </c>
      <c r="H8" s="1">
        <v>163750000</v>
      </c>
      <c r="I8" s="1">
        <v>199750000</v>
      </c>
      <c r="J8" s="1">
        <v>201262000</v>
      </c>
      <c r="K8" s="1">
        <v>218523000</v>
      </c>
      <c r="L8" s="1">
        <v>243529000</v>
      </c>
    </row>
    <row r="9" spans="1:38" ht="19" customHeight="1" x14ac:dyDescent="0.25">
      <c r="A9" s="14" t="s">
        <v>95</v>
      </c>
      <c r="B9" s="15">
        <f>B8/B3</f>
        <v>0.49315441264010068</v>
      </c>
      <c r="C9" s="15">
        <f t="shared" ref="C9:L9" si="1">C8/C3</f>
        <v>0.37012851069312031</v>
      </c>
      <c r="D9" s="15">
        <f t="shared" si="1"/>
        <v>0.30679172056921089</v>
      </c>
      <c r="E9" s="15">
        <f t="shared" si="1"/>
        <v>0.33861462022305616</v>
      </c>
      <c r="F9" s="15">
        <f t="shared" si="1"/>
        <v>0.29083428456742894</v>
      </c>
      <c r="G9" s="15">
        <f t="shared" si="1"/>
        <v>0.27026210035918774</v>
      </c>
      <c r="H9" s="15">
        <f t="shared" si="1"/>
        <v>0.26915478002452392</v>
      </c>
      <c r="I9" s="15">
        <f t="shared" si="1"/>
        <v>0.28688830673422727</v>
      </c>
      <c r="J9" s="15">
        <f t="shared" si="1"/>
        <v>0.26111810267654423</v>
      </c>
      <c r="K9" s="15">
        <f t="shared" si="1"/>
        <v>0.24993137618204525</v>
      </c>
      <c r="L9" s="15">
        <f t="shared" si="1"/>
        <v>0.24577191449165081</v>
      </c>
      <c r="M9" s="15"/>
      <c r="N9" s="15"/>
      <c r="R9" s="19" t="s">
        <v>96</v>
      </c>
      <c r="S9" s="20" t="s">
        <v>97</v>
      </c>
      <c r="T9" s="20" t="s">
        <v>98</v>
      </c>
      <c r="U9" s="20" t="s">
        <v>99</v>
      </c>
    </row>
    <row r="10" spans="1:38" ht="19" x14ac:dyDescent="0.25">
      <c r="A10" s="5" t="s">
        <v>6</v>
      </c>
      <c r="B10" s="1">
        <v>25429000</v>
      </c>
      <c r="C10" s="1">
        <v>39843000</v>
      </c>
      <c r="D10" s="1">
        <v>61672000</v>
      </c>
      <c r="E10" s="1">
        <v>71923000</v>
      </c>
      <c r="F10" s="1">
        <v>68182000</v>
      </c>
      <c r="G10" s="1">
        <v>84805000</v>
      </c>
      <c r="H10" s="1">
        <v>93069000</v>
      </c>
      <c r="I10" s="1">
        <v>102794000</v>
      </c>
      <c r="J10" s="1">
        <v>106670000</v>
      </c>
      <c r="K10" s="1">
        <v>135316000</v>
      </c>
      <c r="L10" s="1">
        <v>126549000</v>
      </c>
      <c r="R10" s="17">
        <f>L9</f>
        <v>0.24577191449165081</v>
      </c>
      <c r="S10" s="21">
        <f>L13</f>
        <v>0.46216673361093336</v>
      </c>
      <c r="T10" s="21">
        <f>L80</f>
        <v>0.18734168017326119</v>
      </c>
      <c r="U10" s="21">
        <f>L89</f>
        <v>4.4738281557493691E-3</v>
      </c>
    </row>
    <row r="11" spans="1:38" ht="19" x14ac:dyDescent="0.25">
      <c r="A11" s="5" t="s">
        <v>7</v>
      </c>
      <c r="B11" s="1">
        <v>99221000</v>
      </c>
      <c r="C11" s="1">
        <v>171188000</v>
      </c>
      <c r="D11" s="1">
        <v>207749000</v>
      </c>
      <c r="E11" s="1">
        <v>242184000</v>
      </c>
      <c r="F11" s="1">
        <v>253020000</v>
      </c>
      <c r="G11" s="1">
        <v>303319000</v>
      </c>
      <c r="H11" s="1">
        <v>312210000</v>
      </c>
      <c r="I11" s="1">
        <v>317615000</v>
      </c>
      <c r="J11" s="1">
        <v>275742000</v>
      </c>
      <c r="K11" s="1">
        <v>298635000</v>
      </c>
      <c r="L11" s="1">
        <v>331400000</v>
      </c>
    </row>
    <row r="12" spans="1:38" ht="20" x14ac:dyDescent="0.25">
      <c r="A12" s="5" t="s">
        <v>8</v>
      </c>
      <c r="B12" s="1">
        <v>124650000</v>
      </c>
      <c r="C12" s="1">
        <v>211031000</v>
      </c>
      <c r="D12" s="1">
        <v>269421000</v>
      </c>
      <c r="E12" s="1">
        <v>314107000</v>
      </c>
      <c r="F12" s="1">
        <v>321202000</v>
      </c>
      <c r="G12" s="1">
        <v>388124000</v>
      </c>
      <c r="H12" s="1">
        <v>405279000</v>
      </c>
      <c r="I12" s="1">
        <v>420409000</v>
      </c>
      <c r="J12" s="1">
        <v>382412000</v>
      </c>
      <c r="K12" s="1">
        <v>433951000</v>
      </c>
      <c r="L12" s="1">
        <v>457949000</v>
      </c>
      <c r="R12" s="19" t="s">
        <v>117</v>
      </c>
      <c r="S12" s="20" t="s">
        <v>118</v>
      </c>
      <c r="T12" s="20" t="s">
        <v>119</v>
      </c>
      <c r="U12" s="20" t="s">
        <v>120</v>
      </c>
    </row>
    <row r="13" spans="1:38" ht="19" x14ac:dyDescent="0.25">
      <c r="A13" s="14" t="s">
        <v>100</v>
      </c>
      <c r="B13" s="15">
        <f>B12/B3</f>
        <v>2.1200061227613656</v>
      </c>
      <c r="C13" s="15">
        <f t="shared" ref="C13:L13" si="2">C12/C3</f>
        <v>1.6992318345787167</v>
      </c>
      <c r="D13" s="15">
        <f t="shared" si="2"/>
        <v>1.244783773794123</v>
      </c>
      <c r="E13" s="15">
        <f t="shared" si="2"/>
        <v>1.0376704635551561</v>
      </c>
      <c r="F13" s="15">
        <f t="shared" si="2"/>
        <v>0.80581528079176123</v>
      </c>
      <c r="G13" s="15">
        <f t="shared" si="2"/>
        <v>0.76682828139138814</v>
      </c>
      <c r="H13" s="15">
        <f t="shared" si="2"/>
        <v>0.66615438225074208</v>
      </c>
      <c r="I13" s="15">
        <f t="shared" si="2"/>
        <v>0.60380688934082472</v>
      </c>
      <c r="J13" s="15">
        <f t="shared" si="2"/>
        <v>0.4961428182207403</v>
      </c>
      <c r="K13" s="15">
        <f t="shared" si="2"/>
        <v>0.49632290708792542</v>
      </c>
      <c r="L13" s="15">
        <f t="shared" si="2"/>
        <v>0.46216673361093336</v>
      </c>
      <c r="M13" s="15"/>
      <c r="N13" s="15"/>
      <c r="R13" s="17">
        <f>L28/L72</f>
        <v>-1.6353886887683713E-2</v>
      </c>
      <c r="S13" s="21">
        <f>L28/L54</f>
        <v>7.0967928990651654E-3</v>
      </c>
      <c r="T13" s="21">
        <f>L22/(L72+L56+L61)</f>
        <v>0.90803776096226374</v>
      </c>
      <c r="U13" s="22">
        <f>L67/L72</f>
        <v>-2.3690438693445275</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row>
    <row r="15" spans="1:38" ht="20" x14ac:dyDescent="0.25">
      <c r="A15" s="5" t="s">
        <v>10</v>
      </c>
      <c r="B15" s="1">
        <v>153646000</v>
      </c>
      <c r="C15" s="1">
        <v>256998000</v>
      </c>
      <c r="D15" s="1">
        <v>335823000</v>
      </c>
      <c r="E15" s="1">
        <v>416607000</v>
      </c>
      <c r="F15" s="1">
        <v>437130000</v>
      </c>
      <c r="G15" s="1">
        <v>524915000</v>
      </c>
      <c r="H15" s="1">
        <v>569029000</v>
      </c>
      <c r="I15" s="1">
        <v>620159000</v>
      </c>
      <c r="J15" s="1">
        <v>583674000</v>
      </c>
      <c r="K15" s="1">
        <v>652474000</v>
      </c>
      <c r="L15" s="1">
        <v>701478000</v>
      </c>
      <c r="R15" s="19" t="s">
        <v>121</v>
      </c>
      <c r="S15" s="20" t="s">
        <v>122</v>
      </c>
      <c r="T15" s="20" t="s">
        <v>123</v>
      </c>
      <c r="U15" s="20" t="s">
        <v>124</v>
      </c>
    </row>
    <row r="16" spans="1:38" ht="19" x14ac:dyDescent="0.25">
      <c r="A16" s="5" t="s">
        <v>11</v>
      </c>
      <c r="B16" s="1">
        <v>167926000</v>
      </c>
      <c r="C16" s="1">
        <v>282972000</v>
      </c>
      <c r="D16" s="1">
        <v>383096000</v>
      </c>
      <c r="E16" s="1">
        <v>503707000</v>
      </c>
      <c r="F16" s="1">
        <v>549260000</v>
      </c>
      <c r="G16" s="1">
        <v>660163000</v>
      </c>
      <c r="H16" s="1">
        <v>742623000</v>
      </c>
      <c r="I16" s="1">
        <v>835736000</v>
      </c>
      <c r="J16" s="1">
        <v>808412000</v>
      </c>
      <c r="K16" s="1">
        <v>901958000</v>
      </c>
      <c r="L16" s="1">
        <v>954034000</v>
      </c>
      <c r="R16" s="30">
        <f>(L35+K35+J35+I35+H35)/5</f>
        <v>3.1095773014356988E-2</v>
      </c>
      <c r="S16" s="31">
        <f>T101/L3</f>
        <v>4.0216616845330488</v>
      </c>
      <c r="T16" s="31">
        <f>T101/L28</f>
        <v>465.15232870316328</v>
      </c>
      <c r="U16" s="32">
        <f>T101/L106</f>
        <v>13.937422617673599</v>
      </c>
    </row>
    <row r="17" spans="1:18" ht="19" x14ac:dyDescent="0.25">
      <c r="A17" s="5" t="s">
        <v>12</v>
      </c>
      <c r="B17" s="1">
        <v>1764000</v>
      </c>
      <c r="C17" s="1">
        <v>3705000</v>
      </c>
      <c r="D17" s="1">
        <v>2009000</v>
      </c>
      <c r="E17" s="1">
        <v>1157000</v>
      </c>
      <c r="F17" s="1">
        <v>896000</v>
      </c>
      <c r="G17" s="1">
        <v>1013000</v>
      </c>
      <c r="H17" s="1">
        <v>316000</v>
      </c>
      <c r="I17" s="1">
        <v>2338000</v>
      </c>
      <c r="J17" s="1">
        <v>7010000</v>
      </c>
      <c r="K17" s="1">
        <v>-9838000</v>
      </c>
      <c r="L17" s="1">
        <v>2433000</v>
      </c>
    </row>
    <row r="18" spans="1:18" ht="20" x14ac:dyDescent="0.25">
      <c r="A18" s="5" t="s">
        <v>13</v>
      </c>
      <c r="B18" s="1">
        <v>8616000</v>
      </c>
      <c r="C18" s="1">
        <v>17867000</v>
      </c>
      <c r="D18" s="1">
        <v>29019000</v>
      </c>
      <c r="E18" s="1">
        <v>40394000</v>
      </c>
      <c r="F18" s="1">
        <v>40154000</v>
      </c>
      <c r="G18" s="1">
        <v>40112000</v>
      </c>
      <c r="H18" s="1">
        <v>46320000</v>
      </c>
      <c r="I18" s="1">
        <v>59424000</v>
      </c>
      <c r="J18" s="1">
        <v>75478000</v>
      </c>
      <c r="K18" s="1">
        <v>78234000</v>
      </c>
      <c r="L18" s="1">
        <v>65988000</v>
      </c>
      <c r="R18" s="19" t="s">
        <v>125</v>
      </c>
    </row>
    <row r="19" spans="1:18" ht="19" x14ac:dyDescent="0.25">
      <c r="A19" s="6" t="s">
        <v>14</v>
      </c>
      <c r="B19" s="10">
        <v>-102124000</v>
      </c>
      <c r="C19" s="10">
        <v>-149416000</v>
      </c>
      <c r="D19" s="10">
        <v>-137768000</v>
      </c>
      <c r="E19" s="10">
        <v>-160707000</v>
      </c>
      <c r="F19" s="10">
        <v>-109823000</v>
      </c>
      <c r="G19" s="10">
        <v>-113120000</v>
      </c>
      <c r="H19" s="10">
        <v>-86578000</v>
      </c>
      <c r="I19" s="10">
        <v>-81176000</v>
      </c>
      <c r="J19" s="10">
        <v>40262000</v>
      </c>
      <c r="K19" s="10">
        <v>30932000</v>
      </c>
      <c r="L19" s="10">
        <v>84612000</v>
      </c>
      <c r="R19" s="33">
        <f>L40-L56-L61</f>
        <v>-103174000</v>
      </c>
    </row>
    <row r="20" spans="1:18" ht="19" customHeight="1" x14ac:dyDescent="0.25">
      <c r="A20" s="14" t="s">
        <v>101</v>
      </c>
      <c r="B20" s="1"/>
      <c r="C20" s="15">
        <f>(C19/B19)-1</f>
        <v>0.46308409384669624</v>
      </c>
      <c r="D20" s="15">
        <f>(D19/C19)-1</f>
        <v>-7.7956845317770473E-2</v>
      </c>
      <c r="E20" s="15">
        <f>(E19/D19)-1</f>
        <v>0.1665045583880147</v>
      </c>
      <c r="F20" s="15">
        <f t="shared" ref="F20" si="3">(F19/E19)-1</f>
        <v>-0.31662590926344214</v>
      </c>
      <c r="G20" s="15">
        <f t="shared" ref="G20" si="4">(G19/F19)-1</f>
        <v>3.0021033845369471E-2</v>
      </c>
      <c r="H20" s="15">
        <f t="shared" ref="H20" si="5">(H19/G19)-1</f>
        <v>-0.23463578500707216</v>
      </c>
      <c r="I20" s="15">
        <f t="shared" ref="I20" si="6">(I19/H19)-1</f>
        <v>-6.2394603709949426E-2</v>
      </c>
      <c r="J20" s="15">
        <f t="shared" ref="J20" si="7">(J19/I19)-1</f>
        <v>-1.4959840346900561</v>
      </c>
      <c r="K20" s="15">
        <f t="shared" ref="K20" si="8">(K19/J19)-1</f>
        <v>-0.23173215438875361</v>
      </c>
      <c r="L20" s="15">
        <f t="shared" ref="L20" si="9">(L19/K19)-1</f>
        <v>1.7354196301564722</v>
      </c>
    </row>
    <row r="21" spans="1:18" ht="19" x14ac:dyDescent="0.25">
      <c r="A21" s="5" t="s">
        <v>15</v>
      </c>
      <c r="B21" s="2">
        <v>-1.7369000000000001</v>
      </c>
      <c r="C21" s="2">
        <v>-1.2031000000000001</v>
      </c>
      <c r="D21" s="2">
        <v>-0.63649999999999995</v>
      </c>
      <c r="E21" s="2">
        <v>-0.53090000000000004</v>
      </c>
      <c r="F21" s="2">
        <v>-0.27550000000000002</v>
      </c>
      <c r="G21" s="2">
        <v>-0.2235</v>
      </c>
      <c r="H21" s="2">
        <v>-0.14230000000000001</v>
      </c>
      <c r="I21" s="2">
        <v>-0.1166</v>
      </c>
      <c r="J21" s="2">
        <v>5.2200000000000003E-2</v>
      </c>
      <c r="K21" s="2">
        <v>3.5400000000000001E-2</v>
      </c>
      <c r="L21" s="2">
        <v>8.5400000000000004E-2</v>
      </c>
    </row>
    <row r="22" spans="1:18" ht="19" x14ac:dyDescent="0.25">
      <c r="A22" s="6" t="s">
        <v>16</v>
      </c>
      <c r="B22" s="10">
        <v>-109129000</v>
      </c>
      <c r="C22" s="10">
        <v>-158780000</v>
      </c>
      <c r="D22" s="10">
        <v>-166656000</v>
      </c>
      <c r="E22" s="10">
        <v>-201003000</v>
      </c>
      <c r="F22" s="10">
        <v>-150655000</v>
      </c>
      <c r="G22" s="10">
        <v>-154021000</v>
      </c>
      <c r="H22" s="10">
        <v>-134237000</v>
      </c>
      <c r="I22" s="10">
        <v>-139472000</v>
      </c>
      <c r="J22" s="10">
        <v>-37642000</v>
      </c>
      <c r="K22" s="10">
        <v>-27626000</v>
      </c>
      <c r="L22" s="10">
        <v>36840000</v>
      </c>
    </row>
    <row r="23" spans="1:18" ht="19" x14ac:dyDescent="0.25">
      <c r="A23" s="5" t="s">
        <v>17</v>
      </c>
      <c r="B23" s="2">
        <v>-1.8560000000000001</v>
      </c>
      <c r="C23" s="2">
        <v>-1.2785</v>
      </c>
      <c r="D23" s="2">
        <v>-0.77</v>
      </c>
      <c r="E23" s="2">
        <v>-0.66400000000000003</v>
      </c>
      <c r="F23" s="2">
        <v>-0.378</v>
      </c>
      <c r="G23" s="2">
        <v>-0.30430000000000001</v>
      </c>
      <c r="H23" s="2">
        <v>-0.22059999999999999</v>
      </c>
      <c r="I23" s="2">
        <v>-0.20030000000000001</v>
      </c>
      <c r="J23" s="2">
        <v>-4.8800000000000003E-2</v>
      </c>
      <c r="K23" s="2">
        <v>-3.1600000000000003E-2</v>
      </c>
      <c r="L23" s="2">
        <v>3.7199999999999997E-2</v>
      </c>
    </row>
    <row r="24" spans="1:18" ht="19" x14ac:dyDescent="0.25">
      <c r="A24" s="5" t="s">
        <v>18</v>
      </c>
      <c r="B24" s="1">
        <v>-3375000</v>
      </c>
      <c r="C24" s="1">
        <v>-12208000</v>
      </c>
      <c r="D24" s="1">
        <v>-2140000</v>
      </c>
      <c r="E24" s="1">
        <v>-1255000</v>
      </c>
      <c r="F24" s="1">
        <v>-218000</v>
      </c>
      <c r="G24" s="1">
        <v>-224000</v>
      </c>
      <c r="H24" s="1">
        <v>1023000</v>
      </c>
      <c r="I24" s="1">
        <v>-3466000</v>
      </c>
      <c r="J24" s="1">
        <v>-4584000</v>
      </c>
      <c r="K24" s="1">
        <v>-9838000</v>
      </c>
      <c r="L24" s="1">
        <v>-2433000</v>
      </c>
    </row>
    <row r="25" spans="1:18" ht="19" x14ac:dyDescent="0.25">
      <c r="A25" s="6" t="s">
        <v>19</v>
      </c>
      <c r="B25" s="10">
        <v>-112504000</v>
      </c>
      <c r="C25" s="10">
        <v>-170988000</v>
      </c>
      <c r="D25" s="10">
        <v>-168796000</v>
      </c>
      <c r="E25" s="10">
        <v>-202258000</v>
      </c>
      <c r="F25" s="10">
        <v>-150873000</v>
      </c>
      <c r="G25" s="10">
        <v>-154245000</v>
      </c>
      <c r="H25" s="10">
        <v>-133214000</v>
      </c>
      <c r="I25" s="10">
        <v>-142938000</v>
      </c>
      <c r="J25" s="10">
        <v>-42226000</v>
      </c>
      <c r="K25" s="10">
        <v>-37464000</v>
      </c>
      <c r="L25" s="10">
        <v>34407000</v>
      </c>
    </row>
    <row r="26" spans="1:18" ht="19" x14ac:dyDescent="0.25">
      <c r="A26" s="5" t="s">
        <v>20</v>
      </c>
      <c r="B26" s="2">
        <v>-1.9134</v>
      </c>
      <c r="C26" s="2">
        <v>-1.3768</v>
      </c>
      <c r="D26" s="2">
        <v>-0.77990000000000004</v>
      </c>
      <c r="E26" s="2">
        <v>-0.66820000000000002</v>
      </c>
      <c r="F26" s="2">
        <v>-0.3785</v>
      </c>
      <c r="G26" s="2">
        <v>-0.30470000000000003</v>
      </c>
      <c r="H26" s="2">
        <v>-0.219</v>
      </c>
      <c r="I26" s="2">
        <v>-0.20530000000000001</v>
      </c>
      <c r="J26" s="2">
        <v>-5.4800000000000001E-2</v>
      </c>
      <c r="K26" s="2">
        <v>-4.2799999999999998E-2</v>
      </c>
      <c r="L26" s="2">
        <v>3.4700000000000002E-2</v>
      </c>
    </row>
    <row r="27" spans="1:18" ht="19" x14ac:dyDescent="0.25">
      <c r="A27" s="5" t="s">
        <v>21</v>
      </c>
      <c r="B27" s="1">
        <v>59000</v>
      </c>
      <c r="C27" s="1">
        <v>-2431000</v>
      </c>
      <c r="D27" s="1">
        <v>-569000</v>
      </c>
      <c r="E27" s="1">
        <v>690000</v>
      </c>
      <c r="F27" s="1">
        <v>914000</v>
      </c>
      <c r="G27" s="1">
        <v>715000</v>
      </c>
      <c r="H27" s="1">
        <v>1398000</v>
      </c>
      <c r="I27" s="1">
        <v>1410000</v>
      </c>
      <c r="J27" s="1">
        <v>1207000</v>
      </c>
      <c r="K27" s="1">
        <v>3995000</v>
      </c>
      <c r="L27" s="1">
        <v>7624000</v>
      </c>
    </row>
    <row r="28" spans="1:18" ht="20" thickBot="1" x14ac:dyDescent="0.3">
      <c r="A28" s="7" t="s">
        <v>22</v>
      </c>
      <c r="B28" s="11">
        <v>-112563000</v>
      </c>
      <c r="C28" s="11">
        <v>-168557000</v>
      </c>
      <c r="D28" s="11">
        <v>-168227000</v>
      </c>
      <c r="E28" s="11">
        <v>-202948000</v>
      </c>
      <c r="F28" s="11">
        <v>-151787000</v>
      </c>
      <c r="G28" s="11">
        <v>-154960000</v>
      </c>
      <c r="H28" s="11">
        <v>-134612000</v>
      </c>
      <c r="I28" s="11">
        <v>-144348000</v>
      </c>
      <c r="J28" s="11">
        <v>-43433000</v>
      </c>
      <c r="K28" s="11">
        <v>-41459000</v>
      </c>
      <c r="L28" s="11">
        <v>8567000</v>
      </c>
    </row>
    <row r="29" spans="1:18" ht="20" customHeight="1" thickTop="1" x14ac:dyDescent="0.25">
      <c r="A29" s="14" t="s">
        <v>102</v>
      </c>
      <c r="B29" s="1"/>
      <c r="C29" s="15">
        <f>(C28/B28)-1</f>
        <v>0.4974458747545818</v>
      </c>
      <c r="D29" s="15">
        <f>(D28/C28)-1</f>
        <v>-1.9577946925966039E-3</v>
      </c>
      <c r="E29" s="15">
        <f>(E28/D28)-1</f>
        <v>0.20639374178936798</v>
      </c>
      <c r="F29" s="15">
        <f t="shared" ref="F29" si="10">(F28/E28)-1</f>
        <v>-0.25208920511658162</v>
      </c>
      <c r="G29" s="15">
        <f t="shared" ref="G29" si="11">(G28/F28)-1</f>
        <v>2.0904293516572636E-2</v>
      </c>
      <c r="H29" s="15">
        <f t="shared" ref="H29" si="12">(H28/G28)-1</f>
        <v>-0.13131130614352093</v>
      </c>
      <c r="I29" s="15">
        <f t="shared" ref="I29" si="13">(I28/H28)-1</f>
        <v>7.2326389920660761E-2</v>
      </c>
      <c r="J29" s="15">
        <f t="shared" ref="J29" si="14">(J28/I28)-1</f>
        <v>-0.69910909745891869</v>
      </c>
      <c r="K29" s="15">
        <f t="shared" ref="K29" si="15">(K28/J28)-1</f>
        <v>-4.5449312734556657E-2</v>
      </c>
      <c r="L29" s="15">
        <f t="shared" ref="L29" si="16">(L28/K28)-1</f>
        <v>-1.2066378832099183</v>
      </c>
    </row>
    <row r="30" spans="1:18" ht="19" x14ac:dyDescent="0.25">
      <c r="A30" s="5" t="s">
        <v>23</v>
      </c>
      <c r="B30" s="2">
        <v>-1.9144000000000001</v>
      </c>
      <c r="C30" s="2">
        <v>-1.3572</v>
      </c>
      <c r="D30" s="2">
        <v>-0.7772</v>
      </c>
      <c r="E30" s="2">
        <v>-0.67049999999999998</v>
      </c>
      <c r="F30" s="2">
        <v>-0.38080000000000003</v>
      </c>
      <c r="G30" s="2">
        <v>-0.30620000000000003</v>
      </c>
      <c r="H30" s="2">
        <v>-0.2213</v>
      </c>
      <c r="I30" s="2">
        <v>-0.20730000000000001</v>
      </c>
      <c r="J30" s="2">
        <v>-5.6399999999999999E-2</v>
      </c>
      <c r="K30" s="2">
        <v>-4.7399999999999998E-2</v>
      </c>
      <c r="L30" s="2">
        <v>8.6E-3</v>
      </c>
    </row>
    <row r="31" spans="1:18" ht="19" x14ac:dyDescent="0.25">
      <c r="A31" s="5" t="s">
        <v>24</v>
      </c>
      <c r="B31" s="12">
        <v>-1.18</v>
      </c>
      <c r="C31" s="12">
        <v>-1.93</v>
      </c>
      <c r="D31" s="12">
        <v>-11.48</v>
      </c>
      <c r="E31" s="12">
        <v>-1.67</v>
      </c>
      <c r="F31" s="12">
        <v>-1.19</v>
      </c>
      <c r="G31" s="12">
        <v>-1.1599999999999999</v>
      </c>
      <c r="H31" s="12">
        <v>-0.95</v>
      </c>
      <c r="I31" s="12">
        <v>-0.98</v>
      </c>
      <c r="J31" s="12">
        <v>-0.28000000000000003</v>
      </c>
      <c r="K31" s="12">
        <v>-0.27</v>
      </c>
      <c r="L31" s="12">
        <v>0.06</v>
      </c>
    </row>
    <row r="32" spans="1:18" ht="19" x14ac:dyDescent="0.25">
      <c r="A32" s="5" t="s">
        <v>25</v>
      </c>
      <c r="B32" s="12">
        <v>-1.18</v>
      </c>
      <c r="C32" s="12">
        <v>-1.93</v>
      </c>
      <c r="D32" s="12">
        <v>-11.48</v>
      </c>
      <c r="E32" s="12">
        <v>-1.67</v>
      </c>
      <c r="F32" s="12">
        <v>-1.19</v>
      </c>
      <c r="G32" s="12">
        <v>-1.1599999999999999</v>
      </c>
      <c r="H32" s="12">
        <v>-0.95</v>
      </c>
      <c r="I32" s="12">
        <v>-0.98</v>
      </c>
      <c r="J32" s="12">
        <v>-0.28000000000000003</v>
      </c>
      <c r="K32" s="12">
        <v>-0.27</v>
      </c>
      <c r="L32" s="12">
        <v>0.06</v>
      </c>
    </row>
    <row r="33" spans="1:12" ht="19" x14ac:dyDescent="0.25">
      <c r="A33" s="5" t="s">
        <v>26</v>
      </c>
      <c r="B33" s="1">
        <v>95666000</v>
      </c>
      <c r="C33" s="1">
        <v>83034000</v>
      </c>
      <c r="D33" s="1">
        <v>15854000</v>
      </c>
      <c r="E33" s="1">
        <v>121240000</v>
      </c>
      <c r="F33" s="1">
        <v>127469000</v>
      </c>
      <c r="G33" s="1">
        <v>133932000</v>
      </c>
      <c r="H33" s="1">
        <v>141351000</v>
      </c>
      <c r="I33" s="1">
        <v>147762000</v>
      </c>
      <c r="J33" s="1">
        <v>155849000</v>
      </c>
      <c r="K33" s="1">
        <v>155849000</v>
      </c>
      <c r="L33" s="1">
        <v>155849000</v>
      </c>
    </row>
    <row r="34" spans="1:12" ht="19" x14ac:dyDescent="0.25">
      <c r="A34" s="5" t="s">
        <v>27</v>
      </c>
      <c r="B34" s="1">
        <v>95666000</v>
      </c>
      <c r="C34" s="1">
        <v>83034000</v>
      </c>
      <c r="D34" s="1">
        <v>15854000</v>
      </c>
      <c r="E34" s="1">
        <v>121240000</v>
      </c>
      <c r="F34" s="1">
        <v>127469000</v>
      </c>
      <c r="G34" s="1">
        <v>133932000</v>
      </c>
      <c r="H34" s="1">
        <v>141351000</v>
      </c>
      <c r="I34" s="1">
        <v>147762000</v>
      </c>
      <c r="J34" s="1">
        <v>155849000</v>
      </c>
      <c r="K34" s="1">
        <v>155849000</v>
      </c>
      <c r="L34" s="1">
        <v>155849000</v>
      </c>
    </row>
    <row r="35" spans="1:12" ht="20" customHeight="1" x14ac:dyDescent="0.25">
      <c r="A35" s="14" t="s">
        <v>103</v>
      </c>
      <c r="B35" s="1"/>
      <c r="C35" s="23">
        <f>(C34-B34)/B34</f>
        <v>-0.13204273200510108</v>
      </c>
      <c r="D35" s="23">
        <f t="shared" ref="D35:F35" si="17">(D34-C34)/C34</f>
        <v>-0.80906616566707612</v>
      </c>
      <c r="E35" s="23">
        <f t="shared" si="17"/>
        <v>6.6472814431689162</v>
      </c>
      <c r="F35" s="23">
        <f t="shared" si="17"/>
        <v>5.1377433190366216E-2</v>
      </c>
      <c r="G35" s="23">
        <f t="shared" ref="G35" si="18">(G34-F34)/F34</f>
        <v>5.0702523750872759E-2</v>
      </c>
      <c r="H35" s="23">
        <f t="shared" ref="H35" si="19">(H34-G34)/G34</f>
        <v>5.5393781919182872E-2</v>
      </c>
      <c r="I35" s="23">
        <f t="shared" ref="I35" si="20">(I34-H34)/H34</f>
        <v>4.5355179659146379E-2</v>
      </c>
      <c r="J35" s="23">
        <f t="shared" ref="J35" si="21">(J34-I34)/I34</f>
        <v>5.4729903493455689E-2</v>
      </c>
      <c r="K35" s="23">
        <f t="shared" ref="K35" si="22">(K34-J34)/J34</f>
        <v>0</v>
      </c>
      <c r="L35" s="23">
        <f t="shared" ref="L35" si="23">(L34-K34)/K34</f>
        <v>0</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v>127625000</v>
      </c>
      <c r="C38" s="1">
        <v>108851000</v>
      </c>
      <c r="D38" s="1">
        <v>330436000</v>
      </c>
      <c r="E38" s="1">
        <v>185741000</v>
      </c>
      <c r="F38" s="1">
        <v>177391000</v>
      </c>
      <c r="G38" s="1">
        <v>208076000</v>
      </c>
      <c r="H38" s="1">
        <v>217518000</v>
      </c>
      <c r="I38" s="1">
        <v>195586000</v>
      </c>
      <c r="J38" s="1">
        <v>595082000</v>
      </c>
      <c r="K38" s="1">
        <v>416274000</v>
      </c>
      <c r="L38" s="1">
        <v>428465000</v>
      </c>
    </row>
    <row r="39" spans="1:12" ht="19" x14ac:dyDescent="0.25">
      <c r="A39" s="5" t="s">
        <v>31</v>
      </c>
      <c r="B39" s="1" t="s">
        <v>92</v>
      </c>
      <c r="C39" s="1" t="s">
        <v>92</v>
      </c>
      <c r="D39" s="1" t="s">
        <v>92</v>
      </c>
      <c r="E39" s="1">
        <v>7379000</v>
      </c>
      <c r="F39" s="1" t="s">
        <v>92</v>
      </c>
      <c r="G39" s="1" t="s">
        <v>92</v>
      </c>
      <c r="H39" s="1" t="s">
        <v>92</v>
      </c>
      <c r="I39" s="1" t="s">
        <v>92</v>
      </c>
      <c r="J39" s="1" t="s">
        <v>92</v>
      </c>
      <c r="K39" s="1">
        <v>170000000</v>
      </c>
      <c r="L39" s="1">
        <v>32783000</v>
      </c>
    </row>
    <row r="40" spans="1:12" ht="19" x14ac:dyDescent="0.25">
      <c r="A40" s="5" t="s">
        <v>32</v>
      </c>
      <c r="B40" s="1">
        <v>127625000</v>
      </c>
      <c r="C40" s="1">
        <v>108851000</v>
      </c>
      <c r="D40" s="1">
        <v>330436000</v>
      </c>
      <c r="E40" s="1">
        <v>193120000</v>
      </c>
      <c r="F40" s="1">
        <v>177391000</v>
      </c>
      <c r="G40" s="1">
        <v>208076000</v>
      </c>
      <c r="H40" s="1">
        <v>217518000</v>
      </c>
      <c r="I40" s="1">
        <v>195586000</v>
      </c>
      <c r="J40" s="1">
        <v>595082000</v>
      </c>
      <c r="K40" s="1">
        <v>586274000</v>
      </c>
      <c r="L40" s="1">
        <v>461248000</v>
      </c>
    </row>
    <row r="41" spans="1:12" ht="19" x14ac:dyDescent="0.25">
      <c r="A41" s="5" t="s">
        <v>33</v>
      </c>
      <c r="B41" s="1">
        <v>18801000</v>
      </c>
      <c r="C41" s="1">
        <v>44728000</v>
      </c>
      <c r="D41" s="1">
        <v>54174000</v>
      </c>
      <c r="E41" s="1">
        <v>99542000</v>
      </c>
      <c r="F41" s="1">
        <v>120113000</v>
      </c>
      <c r="G41" s="1">
        <v>162133000</v>
      </c>
      <c r="H41" s="1">
        <v>175130000</v>
      </c>
      <c r="I41" s="1">
        <v>209434000</v>
      </c>
      <c r="J41" s="1">
        <v>228309000</v>
      </c>
      <c r="K41" s="1">
        <v>256312000</v>
      </c>
      <c r="L41" s="1">
        <v>264515000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v>15553000</v>
      </c>
      <c r="C43" s="1">
        <v>12869000</v>
      </c>
      <c r="D43" s="1">
        <v>21619000</v>
      </c>
      <c r="E43" s="1">
        <v>27332000</v>
      </c>
      <c r="F43" s="1">
        <v>24597000</v>
      </c>
      <c r="G43" s="1">
        <v>28980000</v>
      </c>
      <c r="H43" s="1">
        <v>35906000</v>
      </c>
      <c r="I43" s="1">
        <v>52706000</v>
      </c>
      <c r="J43" s="1">
        <v>55895000</v>
      </c>
      <c r="K43" s="1">
        <v>73978000</v>
      </c>
      <c r="L43" s="1">
        <v>81000000</v>
      </c>
    </row>
    <row r="44" spans="1:12" ht="19" x14ac:dyDescent="0.25">
      <c r="A44" s="6" t="s">
        <v>36</v>
      </c>
      <c r="B44" s="10">
        <v>161979000</v>
      </c>
      <c r="C44" s="10">
        <v>166448000</v>
      </c>
      <c r="D44" s="10">
        <v>406229000</v>
      </c>
      <c r="E44" s="10">
        <v>319994000</v>
      </c>
      <c r="F44" s="10">
        <v>322101000</v>
      </c>
      <c r="G44" s="10">
        <v>399189000</v>
      </c>
      <c r="H44" s="10">
        <v>428554000</v>
      </c>
      <c r="I44" s="10">
        <v>457726000</v>
      </c>
      <c r="J44" s="10">
        <v>879286000</v>
      </c>
      <c r="K44" s="10">
        <v>916564000</v>
      </c>
      <c r="L44" s="10">
        <v>806763000</v>
      </c>
    </row>
    <row r="45" spans="1:12" ht="19" x14ac:dyDescent="0.25">
      <c r="A45" s="5" t="s">
        <v>37</v>
      </c>
      <c r="B45" s="1">
        <v>29949000</v>
      </c>
      <c r="C45" s="1">
        <v>41385000</v>
      </c>
      <c r="D45" s="1">
        <v>58446000</v>
      </c>
      <c r="E45" s="1">
        <v>120492000</v>
      </c>
      <c r="F45" s="1">
        <v>117176000</v>
      </c>
      <c r="G45" s="1">
        <v>123977000</v>
      </c>
      <c r="H45" s="1">
        <v>137703000</v>
      </c>
      <c r="I45" s="1">
        <v>388782000</v>
      </c>
      <c r="J45" s="1">
        <v>354401000</v>
      </c>
      <c r="K45" s="1">
        <v>278563000</v>
      </c>
      <c r="L45" s="1">
        <v>201144000</v>
      </c>
    </row>
    <row r="46" spans="1:12" ht="19" x14ac:dyDescent="0.25">
      <c r="A46" s="5" t="s">
        <v>38</v>
      </c>
      <c r="B46" s="1" t="s">
        <v>92</v>
      </c>
      <c r="C46" s="1">
        <v>8081000</v>
      </c>
      <c r="D46" s="1">
        <v>11242000</v>
      </c>
      <c r="E46" s="1">
        <v>14301000</v>
      </c>
      <c r="F46" s="1">
        <v>16293000</v>
      </c>
      <c r="G46" s="1">
        <v>16293000</v>
      </c>
      <c r="H46" s="1">
        <v>18740000</v>
      </c>
      <c r="I46" s="1">
        <v>18740000</v>
      </c>
      <c r="J46" s="1">
        <v>18740000</v>
      </c>
      <c r="K46" s="1">
        <v>74466000</v>
      </c>
      <c r="L46" s="1">
        <v>73863000</v>
      </c>
    </row>
    <row r="47" spans="1:12" ht="19" x14ac:dyDescent="0.25">
      <c r="A47" s="5" t="s">
        <v>39</v>
      </c>
      <c r="B47" s="1">
        <v>830000</v>
      </c>
      <c r="C47" s="1">
        <v>6567000</v>
      </c>
      <c r="D47" s="1">
        <v>6343000</v>
      </c>
      <c r="E47" s="1">
        <v>3895000</v>
      </c>
      <c r="F47" s="1">
        <v>543000</v>
      </c>
      <c r="G47" s="1">
        <v>24000</v>
      </c>
      <c r="H47" s="1" t="s">
        <v>92</v>
      </c>
      <c r="I47" s="1">
        <v>25115000</v>
      </c>
      <c r="J47" s="1">
        <v>24820000</v>
      </c>
      <c r="K47" s="1" t="s">
        <v>92</v>
      </c>
      <c r="L47" s="1" t="s">
        <v>92</v>
      </c>
    </row>
    <row r="48" spans="1:12" ht="19" x14ac:dyDescent="0.25">
      <c r="A48" s="5" t="s">
        <v>40</v>
      </c>
      <c r="B48" s="1">
        <v>830000</v>
      </c>
      <c r="C48" s="1">
        <v>14648000</v>
      </c>
      <c r="D48" s="1">
        <v>17585000</v>
      </c>
      <c r="E48" s="1">
        <v>18196000</v>
      </c>
      <c r="F48" s="1">
        <v>16836000</v>
      </c>
      <c r="G48" s="1">
        <v>16317000</v>
      </c>
      <c r="H48" s="1">
        <v>18740000</v>
      </c>
      <c r="I48" s="1">
        <v>43855000</v>
      </c>
      <c r="J48" s="1">
        <v>43560000</v>
      </c>
      <c r="K48" s="1">
        <v>74466000</v>
      </c>
      <c r="L48" s="1">
        <v>73863000</v>
      </c>
    </row>
    <row r="49" spans="1:12" ht="19" x14ac:dyDescent="0.25">
      <c r="A49" s="5" t="s">
        <v>41</v>
      </c>
      <c r="B49" s="1" t="s">
        <v>92</v>
      </c>
      <c r="C49" s="1" t="s">
        <v>92</v>
      </c>
      <c r="D49" s="1" t="s">
        <v>92</v>
      </c>
      <c r="E49" s="1" t="s">
        <v>92</v>
      </c>
      <c r="F49" s="1" t="s">
        <v>92</v>
      </c>
      <c r="G49" s="1" t="s">
        <v>92</v>
      </c>
      <c r="H49" s="1" t="s">
        <v>92</v>
      </c>
      <c r="I49" s="1" t="s">
        <v>92</v>
      </c>
      <c r="J49" s="1" t="s">
        <v>92</v>
      </c>
      <c r="K49" s="1">
        <v>170000000</v>
      </c>
      <c r="L49" s="1" t="s">
        <v>92</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v>3034000</v>
      </c>
      <c r="C51" s="1">
        <v>12948000</v>
      </c>
      <c r="D51" s="1">
        <v>10406000</v>
      </c>
      <c r="E51" s="1">
        <v>38806000</v>
      </c>
      <c r="F51" s="1">
        <v>37561000</v>
      </c>
      <c r="G51" s="1">
        <v>14083000</v>
      </c>
      <c r="H51" s="1">
        <v>65164000</v>
      </c>
      <c r="I51" s="1">
        <v>69628000</v>
      </c>
      <c r="J51" s="1">
        <v>74435000</v>
      </c>
      <c r="K51" s="1">
        <v>-170000000</v>
      </c>
      <c r="L51" s="1">
        <v>125395000</v>
      </c>
    </row>
    <row r="52" spans="1:12" ht="19" x14ac:dyDescent="0.25">
      <c r="A52" s="5" t="s">
        <v>44</v>
      </c>
      <c r="B52" s="1">
        <v>33813000</v>
      </c>
      <c r="C52" s="1">
        <v>68981000</v>
      </c>
      <c r="D52" s="1">
        <v>86437000</v>
      </c>
      <c r="E52" s="1">
        <v>177494000</v>
      </c>
      <c r="F52" s="1">
        <v>171573000</v>
      </c>
      <c r="G52" s="1">
        <v>154377000</v>
      </c>
      <c r="H52" s="1">
        <v>221607000</v>
      </c>
      <c r="I52" s="1">
        <v>502265000</v>
      </c>
      <c r="J52" s="1">
        <v>472396000</v>
      </c>
      <c r="K52" s="1">
        <v>353029000</v>
      </c>
      <c r="L52" s="1">
        <v>400402000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v>195792000</v>
      </c>
      <c r="C54" s="11">
        <v>235429000</v>
      </c>
      <c r="D54" s="11">
        <v>492666000</v>
      </c>
      <c r="E54" s="11">
        <v>497488000</v>
      </c>
      <c r="F54" s="11">
        <v>493674000</v>
      </c>
      <c r="G54" s="11">
        <v>553566000</v>
      </c>
      <c r="H54" s="11">
        <v>650161000</v>
      </c>
      <c r="I54" s="11">
        <v>959991000</v>
      </c>
      <c r="J54" s="11">
        <v>1351682000</v>
      </c>
      <c r="K54" s="11">
        <v>1269593000</v>
      </c>
      <c r="L54" s="11">
        <v>1207165000</v>
      </c>
    </row>
    <row r="55" spans="1:12" ht="20" thickTop="1" x14ac:dyDescent="0.25">
      <c r="A55" s="5" t="s">
        <v>47</v>
      </c>
      <c r="B55" s="1">
        <v>11906000</v>
      </c>
      <c r="C55" s="1">
        <v>12405000</v>
      </c>
      <c r="D55" s="1">
        <v>17486000</v>
      </c>
      <c r="E55" s="1">
        <v>9862000</v>
      </c>
      <c r="F55" s="1">
        <v>6658000</v>
      </c>
      <c r="G55" s="1">
        <v>17036000</v>
      </c>
      <c r="H55" s="1">
        <v>15431000</v>
      </c>
      <c r="I55" s="1">
        <v>16752000</v>
      </c>
      <c r="J55" s="1">
        <v>4546000</v>
      </c>
      <c r="K55" s="1">
        <v>58942000</v>
      </c>
      <c r="L55" s="1">
        <v>50492000</v>
      </c>
    </row>
    <row r="56" spans="1:12" ht="19" x14ac:dyDescent="0.25">
      <c r="A56" s="5" t="s">
        <v>48</v>
      </c>
      <c r="B56" s="1">
        <v>968000</v>
      </c>
      <c r="C56" s="1" t="s">
        <v>92</v>
      </c>
      <c r="D56" s="1">
        <v>625000</v>
      </c>
      <c r="E56" s="1">
        <v>4698000</v>
      </c>
      <c r="F56" s="1">
        <v>13748000</v>
      </c>
      <c r="G56" s="1">
        <v>18844000</v>
      </c>
      <c r="H56" s="1">
        <v>28317000</v>
      </c>
      <c r="I56" s="1">
        <v>94973000</v>
      </c>
      <c r="J56" s="1">
        <v>97659000</v>
      </c>
      <c r="K56" s="1">
        <v>497914000</v>
      </c>
      <c r="L56" s="1">
        <v>77070000</v>
      </c>
    </row>
    <row r="57" spans="1:12" ht="19" x14ac:dyDescent="0.25">
      <c r="A57" s="5" t="s">
        <v>49</v>
      </c>
      <c r="B57" s="1" t="s">
        <v>92</v>
      </c>
      <c r="C57" s="1" t="s">
        <v>92</v>
      </c>
      <c r="D57" s="1" t="s">
        <v>92</v>
      </c>
      <c r="E57" s="1" t="s">
        <v>92</v>
      </c>
      <c r="F57" s="1" t="s">
        <v>92</v>
      </c>
      <c r="G57" s="1" t="s">
        <v>92</v>
      </c>
      <c r="H57" s="1" t="s">
        <v>92</v>
      </c>
      <c r="I57" s="1" t="s">
        <v>92</v>
      </c>
      <c r="J57" s="1" t="s">
        <v>92</v>
      </c>
      <c r="K57" s="1" t="s">
        <v>92</v>
      </c>
      <c r="L57" s="1" t="s">
        <v>92</v>
      </c>
    </row>
    <row r="58" spans="1:12" ht="19" x14ac:dyDescent="0.25">
      <c r="A58" s="5" t="s">
        <v>50</v>
      </c>
      <c r="B58" s="1">
        <v>38275000</v>
      </c>
      <c r="C58" s="1">
        <v>78282000</v>
      </c>
      <c r="D58" s="1">
        <v>107893000</v>
      </c>
      <c r="E58" s="1">
        <v>168051000</v>
      </c>
      <c r="F58" s="1">
        <v>228656000</v>
      </c>
      <c r="G58" s="1">
        <v>291902000</v>
      </c>
      <c r="H58" s="1">
        <v>353590000</v>
      </c>
      <c r="I58" s="1">
        <v>407493000</v>
      </c>
      <c r="J58" s="1">
        <v>443929000</v>
      </c>
      <c r="K58" s="1">
        <v>519485000</v>
      </c>
      <c r="L58" s="1">
        <v>544179000</v>
      </c>
    </row>
    <row r="59" spans="1:12" ht="19" x14ac:dyDescent="0.25">
      <c r="A59" s="5" t="s">
        <v>51</v>
      </c>
      <c r="B59" s="1">
        <v>6031000</v>
      </c>
      <c r="C59" s="1">
        <v>31472000</v>
      </c>
      <c r="D59" s="1">
        <v>40049000</v>
      </c>
      <c r="E59" s="1">
        <v>67855000</v>
      </c>
      <c r="F59" s="1">
        <v>48879000</v>
      </c>
      <c r="G59" s="1">
        <v>66185000</v>
      </c>
      <c r="H59" s="1">
        <v>65862000</v>
      </c>
      <c r="I59" s="1">
        <v>58216000</v>
      </c>
      <c r="J59" s="1">
        <v>66705000</v>
      </c>
      <c r="K59" s="1">
        <v>-357366000</v>
      </c>
      <c r="L59" s="1">
        <v>44086000</v>
      </c>
    </row>
    <row r="60" spans="1:12" ht="19" x14ac:dyDescent="0.25">
      <c r="A60" s="6" t="s">
        <v>52</v>
      </c>
      <c r="B60" s="10">
        <v>57180000</v>
      </c>
      <c r="C60" s="10">
        <v>122159000</v>
      </c>
      <c r="D60" s="10">
        <v>166053000</v>
      </c>
      <c r="E60" s="10">
        <v>250466000</v>
      </c>
      <c r="F60" s="10">
        <v>297941000</v>
      </c>
      <c r="G60" s="10">
        <v>393967000</v>
      </c>
      <c r="H60" s="10">
        <v>463200000</v>
      </c>
      <c r="I60" s="10">
        <v>577434000</v>
      </c>
      <c r="J60" s="10">
        <v>612839000</v>
      </c>
      <c r="K60" s="10">
        <v>718975000</v>
      </c>
      <c r="L60" s="10">
        <v>715827000</v>
      </c>
    </row>
    <row r="61" spans="1:12" ht="19" x14ac:dyDescent="0.25">
      <c r="A61" s="5" t="s">
        <v>53</v>
      </c>
      <c r="B61" s="1">
        <v>30060000</v>
      </c>
      <c r="C61" s="1">
        <v>34000000</v>
      </c>
      <c r="D61" s="1">
        <v>40000000</v>
      </c>
      <c r="E61" s="1">
        <v>40000000</v>
      </c>
      <c r="F61" s="1">
        <v>40000000</v>
      </c>
      <c r="G61" s="1">
        <v>40000000</v>
      </c>
      <c r="H61" s="1">
        <v>40000000</v>
      </c>
      <c r="I61" s="1">
        <v>40000000</v>
      </c>
      <c r="J61" s="1">
        <v>550496000</v>
      </c>
      <c r="K61" s="1">
        <v>336384000</v>
      </c>
      <c r="L61" s="1">
        <v>487352000</v>
      </c>
    </row>
    <row r="62" spans="1:12" ht="19" x14ac:dyDescent="0.25">
      <c r="A62" s="5" t="s">
        <v>50</v>
      </c>
      <c r="B62" s="1">
        <v>1824000</v>
      </c>
      <c r="C62" s="1">
        <v>11790000</v>
      </c>
      <c r="D62" s="1">
        <v>12164000</v>
      </c>
      <c r="E62" s="1">
        <v>18362000</v>
      </c>
      <c r="F62" s="1">
        <v>13328000</v>
      </c>
      <c r="G62" s="1">
        <v>29021000</v>
      </c>
      <c r="H62" s="1">
        <v>21451000</v>
      </c>
      <c r="I62" s="1">
        <v>16356000</v>
      </c>
      <c r="J62" s="1">
        <v>21684000</v>
      </c>
      <c r="K62" s="1">
        <v>14757000</v>
      </c>
      <c r="L62" s="1" t="s">
        <v>92</v>
      </c>
    </row>
    <row r="63" spans="1:12" ht="19" x14ac:dyDescent="0.25">
      <c r="A63" s="5" t="s">
        <v>54</v>
      </c>
      <c r="B63" s="1" t="s">
        <v>92</v>
      </c>
      <c r="C63" s="1" t="s">
        <v>92</v>
      </c>
      <c r="D63" s="1" t="s">
        <v>92</v>
      </c>
      <c r="E63" s="1" t="s">
        <v>92</v>
      </c>
      <c r="F63" s="1" t="s">
        <v>92</v>
      </c>
      <c r="G63" s="1" t="s">
        <v>92</v>
      </c>
      <c r="H63" s="1" t="s">
        <v>92</v>
      </c>
      <c r="I63" s="1" t="s">
        <v>92</v>
      </c>
      <c r="J63" s="1" t="s">
        <v>92</v>
      </c>
      <c r="K63" s="1" t="s">
        <v>92</v>
      </c>
      <c r="L63" s="1" t="s">
        <v>92</v>
      </c>
    </row>
    <row r="64" spans="1:12" ht="19" x14ac:dyDescent="0.25">
      <c r="A64" s="5" t="s">
        <v>55</v>
      </c>
      <c r="B64" s="1">
        <v>290384000</v>
      </c>
      <c r="C64" s="1">
        <v>399992000</v>
      </c>
      <c r="D64" s="1">
        <v>6320000</v>
      </c>
      <c r="E64" s="1">
        <v>50759000</v>
      </c>
      <c r="F64" s="1">
        <v>67673000</v>
      </c>
      <c r="G64" s="1">
        <v>75610000</v>
      </c>
      <c r="H64" s="1">
        <v>94105000</v>
      </c>
      <c r="I64" s="1">
        <v>303844000</v>
      </c>
      <c r="J64" s="1">
        <v>15598000</v>
      </c>
      <c r="K64" s="1">
        <v>229100000</v>
      </c>
      <c r="L64" s="1">
        <v>37847000</v>
      </c>
    </row>
    <row r="65" spans="1:12" ht="19" x14ac:dyDescent="0.25">
      <c r="A65" s="5" t="s">
        <v>56</v>
      </c>
      <c r="B65" s="1">
        <v>322268000</v>
      </c>
      <c r="C65" s="1">
        <v>445782000</v>
      </c>
      <c r="D65" s="1">
        <v>58484000</v>
      </c>
      <c r="E65" s="1">
        <v>109121000</v>
      </c>
      <c r="F65" s="1">
        <v>121001000</v>
      </c>
      <c r="G65" s="1">
        <v>144631000</v>
      </c>
      <c r="H65" s="1">
        <v>155556000</v>
      </c>
      <c r="I65" s="1">
        <v>360200000</v>
      </c>
      <c r="J65" s="1">
        <v>587778000</v>
      </c>
      <c r="K65" s="1">
        <v>580241000</v>
      </c>
      <c r="L65" s="1">
        <v>525199000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v>379448000</v>
      </c>
      <c r="C67" s="10">
        <v>567941000</v>
      </c>
      <c r="D67" s="10">
        <v>224537000</v>
      </c>
      <c r="E67" s="10">
        <v>359587000</v>
      </c>
      <c r="F67" s="10">
        <v>418942000</v>
      </c>
      <c r="G67" s="10">
        <v>538598000</v>
      </c>
      <c r="H67" s="10">
        <v>618756000</v>
      </c>
      <c r="I67" s="10">
        <v>937634000</v>
      </c>
      <c r="J67" s="10">
        <v>1200617000</v>
      </c>
      <c r="K67" s="10">
        <v>1299216000</v>
      </c>
      <c r="L67" s="10">
        <v>1241026000</v>
      </c>
    </row>
    <row r="68" spans="1:12" ht="19" x14ac:dyDescent="0.25">
      <c r="A68" s="5" t="s">
        <v>59</v>
      </c>
      <c r="B68" s="1">
        <v>1000</v>
      </c>
      <c r="C68" s="1">
        <v>1000</v>
      </c>
      <c r="D68" s="1">
        <v>12000</v>
      </c>
      <c r="E68" s="1">
        <v>12000</v>
      </c>
      <c r="F68" s="1">
        <v>13000</v>
      </c>
      <c r="G68" s="1">
        <v>13000</v>
      </c>
      <c r="H68" s="1">
        <v>14000</v>
      </c>
      <c r="I68" s="1">
        <v>15000</v>
      </c>
      <c r="J68" s="1">
        <v>16000</v>
      </c>
      <c r="K68" s="1">
        <v>15000</v>
      </c>
      <c r="L68" s="1">
        <v>14000</v>
      </c>
    </row>
    <row r="69" spans="1:12" ht="19" x14ac:dyDescent="0.25">
      <c r="A69" s="5" t="s">
        <v>60</v>
      </c>
      <c r="B69" s="1">
        <v>-192609000</v>
      </c>
      <c r="C69" s="1">
        <v>-361166000</v>
      </c>
      <c r="D69" s="1">
        <v>-529393000</v>
      </c>
      <c r="E69" s="1">
        <v>-732341000</v>
      </c>
      <c r="F69" s="1">
        <v>-884128000</v>
      </c>
      <c r="G69" s="1">
        <v>-1039088000</v>
      </c>
      <c r="H69" s="1">
        <v>-1133898000</v>
      </c>
      <c r="I69" s="1">
        <v>-1278246000</v>
      </c>
      <c r="J69" s="1">
        <v>-1321679000</v>
      </c>
      <c r="K69" s="1">
        <v>-1362579000</v>
      </c>
      <c r="L69" s="1">
        <v>-1335796000</v>
      </c>
    </row>
    <row r="70" spans="1:12" ht="19" x14ac:dyDescent="0.25">
      <c r="A70" s="5" t="s">
        <v>61</v>
      </c>
      <c r="B70" s="1" t="s">
        <v>92</v>
      </c>
      <c r="C70" s="1">
        <v>15000</v>
      </c>
      <c r="D70" s="1">
        <v>-56000</v>
      </c>
      <c r="E70" s="1">
        <v>-84000</v>
      </c>
      <c r="F70" s="1">
        <v>-120000</v>
      </c>
      <c r="G70" s="1">
        <v>288000</v>
      </c>
      <c r="H70" s="1">
        <v>23000</v>
      </c>
      <c r="I70" s="1">
        <v>-307000</v>
      </c>
      <c r="J70" s="1">
        <v>-938000</v>
      </c>
      <c r="K70" s="1">
        <v>-4543000</v>
      </c>
      <c r="L70" s="1">
        <v>-7065000</v>
      </c>
    </row>
    <row r="71" spans="1:12" ht="19" x14ac:dyDescent="0.25">
      <c r="A71" s="5" t="s">
        <v>62</v>
      </c>
      <c r="B71" s="1">
        <v>8952000</v>
      </c>
      <c r="C71" s="1">
        <v>28638000</v>
      </c>
      <c r="D71" s="1">
        <v>797566000</v>
      </c>
      <c r="E71" s="1">
        <v>870314000</v>
      </c>
      <c r="F71" s="1">
        <v>958967000</v>
      </c>
      <c r="G71" s="1">
        <v>1053755000</v>
      </c>
      <c r="H71" s="1">
        <v>1165266000</v>
      </c>
      <c r="I71" s="1">
        <v>1300895000</v>
      </c>
      <c r="J71" s="1">
        <v>1473666000</v>
      </c>
      <c r="K71" s="1">
        <v>972020000</v>
      </c>
      <c r="L71" s="1">
        <v>818996000</v>
      </c>
    </row>
    <row r="72" spans="1:12" ht="19" x14ac:dyDescent="0.25">
      <c r="A72" s="6" t="s">
        <v>63</v>
      </c>
      <c r="B72" s="10">
        <v>-183656000</v>
      </c>
      <c r="C72" s="10">
        <v>-332512000</v>
      </c>
      <c r="D72" s="10">
        <v>268129000</v>
      </c>
      <c r="E72" s="10">
        <v>137901000</v>
      </c>
      <c r="F72" s="10">
        <v>74732000</v>
      </c>
      <c r="G72" s="10">
        <v>14968000</v>
      </c>
      <c r="H72" s="10">
        <v>31405000</v>
      </c>
      <c r="I72" s="10">
        <v>22357000</v>
      </c>
      <c r="J72" s="10">
        <v>151065000</v>
      </c>
      <c r="K72" s="10">
        <v>-395087000</v>
      </c>
      <c r="L72" s="10">
        <v>-523851000</v>
      </c>
    </row>
    <row r="73" spans="1:12" ht="20" thickBot="1" x14ac:dyDescent="0.3">
      <c r="A73" s="7" t="s">
        <v>64</v>
      </c>
      <c r="B73" s="11">
        <v>195792000</v>
      </c>
      <c r="C73" s="11">
        <v>235429000</v>
      </c>
      <c r="D73" s="11">
        <v>492666000</v>
      </c>
      <c r="E73" s="11">
        <v>497488000</v>
      </c>
      <c r="F73" s="11">
        <v>493674000</v>
      </c>
      <c r="G73" s="11">
        <v>553566000</v>
      </c>
      <c r="H73" s="11">
        <v>650161000</v>
      </c>
      <c r="I73" s="11">
        <v>959991000</v>
      </c>
      <c r="J73" s="11">
        <v>1351682000</v>
      </c>
      <c r="K73" s="11">
        <v>904129000</v>
      </c>
      <c r="L73" s="11">
        <v>717175000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-112563000</v>
      </c>
      <c r="C76" s="1">
        <v>-168557000</v>
      </c>
      <c r="D76" s="1">
        <v>-168227000</v>
      </c>
      <c r="E76" s="1">
        <v>-202948000</v>
      </c>
      <c r="F76" s="1">
        <v>-151787000</v>
      </c>
      <c r="G76" s="1">
        <v>-154960000</v>
      </c>
      <c r="H76" s="1">
        <v>-134612000</v>
      </c>
      <c r="I76" s="1">
        <v>-144348000</v>
      </c>
      <c r="J76" s="1">
        <v>-43433000</v>
      </c>
      <c r="K76" s="1">
        <v>-41459000</v>
      </c>
      <c r="L76" s="1">
        <v>26783000</v>
      </c>
    </row>
    <row r="77" spans="1:12" ht="19" x14ac:dyDescent="0.25">
      <c r="A77" s="5" t="s">
        <v>13</v>
      </c>
      <c r="B77" s="1">
        <v>8616000</v>
      </c>
      <c r="C77" s="1">
        <v>17867000</v>
      </c>
      <c r="D77" s="1">
        <v>29019000</v>
      </c>
      <c r="E77" s="1">
        <v>40394000</v>
      </c>
      <c r="F77" s="1">
        <v>40154000</v>
      </c>
      <c r="G77" s="1">
        <v>40112000</v>
      </c>
      <c r="H77" s="1">
        <v>46320000</v>
      </c>
      <c r="I77" s="1">
        <v>59424000</v>
      </c>
      <c r="J77" s="1">
        <v>75478000</v>
      </c>
      <c r="K77" s="1">
        <v>78234000</v>
      </c>
      <c r="L77" s="1">
        <v>65988000</v>
      </c>
    </row>
    <row r="78" spans="1:12" ht="19" x14ac:dyDescent="0.25">
      <c r="A78" s="5" t="s">
        <v>67</v>
      </c>
      <c r="B78" s="1" t="s">
        <v>92</v>
      </c>
      <c r="C78" s="1">
        <v>-2590000</v>
      </c>
      <c r="D78" s="1">
        <v>-1117000</v>
      </c>
      <c r="E78" s="1" t="s">
        <v>92</v>
      </c>
      <c r="F78" s="1" t="s">
        <v>92</v>
      </c>
      <c r="G78" s="1" t="s">
        <v>92</v>
      </c>
      <c r="H78" s="1" t="s">
        <v>92</v>
      </c>
      <c r="I78" s="1" t="s">
        <v>92</v>
      </c>
      <c r="J78" s="1" t="s">
        <v>92</v>
      </c>
      <c r="K78" s="1" t="s">
        <v>92</v>
      </c>
      <c r="L78" s="1" t="s">
        <v>92</v>
      </c>
    </row>
    <row r="79" spans="1:12" ht="19" x14ac:dyDescent="0.25">
      <c r="A79" s="5" t="s">
        <v>68</v>
      </c>
      <c r="B79" s="1">
        <v>7536000</v>
      </c>
      <c r="C79" s="1">
        <v>11749000</v>
      </c>
      <c r="D79" s="1">
        <v>31929000</v>
      </c>
      <c r="E79" s="1">
        <v>59504000</v>
      </c>
      <c r="F79" s="1">
        <v>78372000</v>
      </c>
      <c r="G79" s="1">
        <v>97485000</v>
      </c>
      <c r="H79" s="1">
        <v>119296000</v>
      </c>
      <c r="I79" s="1">
        <v>145988000</v>
      </c>
      <c r="J79" s="1">
        <v>154292000</v>
      </c>
      <c r="K79" s="1">
        <v>178974000</v>
      </c>
      <c r="L79" s="1">
        <v>185632000</v>
      </c>
    </row>
    <row r="80" spans="1:12" ht="19" x14ac:dyDescent="0.25">
      <c r="A80" s="14" t="s">
        <v>104</v>
      </c>
      <c r="B80" s="15">
        <f t="shared" ref="B80:L80" si="24">B79/B3</f>
        <v>0.12816980458186641</v>
      </c>
      <c r="C80" s="15">
        <f t="shared" si="24"/>
        <v>9.4603517134759077E-2</v>
      </c>
      <c r="D80" s="15">
        <f t="shared" si="24"/>
        <v>0.14751894289410461</v>
      </c>
      <c r="E80" s="15">
        <f t="shared" si="24"/>
        <v>0.19657487182197791</v>
      </c>
      <c r="F80" s="15">
        <f t="shared" si="24"/>
        <v>0.19661569724413894</v>
      </c>
      <c r="G80" s="15">
        <f t="shared" si="24"/>
        <v>0.1926040518273528</v>
      </c>
      <c r="H80" s="15">
        <f t="shared" si="24"/>
        <v>0.1960860374827823</v>
      </c>
      <c r="I80" s="15">
        <f t="shared" si="24"/>
        <v>0.20967334229545115</v>
      </c>
      <c r="J80" s="15">
        <f t="shared" si="24"/>
        <v>0.2001790417374833</v>
      </c>
      <c r="K80" s="15">
        <f t="shared" si="24"/>
        <v>0.20469798657718122</v>
      </c>
      <c r="L80" s="15">
        <f t="shared" si="24"/>
        <v>0.18734168017326119</v>
      </c>
    </row>
    <row r="81" spans="1:20" ht="19" x14ac:dyDescent="0.25">
      <c r="A81" s="5" t="s">
        <v>69</v>
      </c>
      <c r="B81" s="1">
        <v>5277000</v>
      </c>
      <c r="C81" s="1">
        <v>27573000</v>
      </c>
      <c r="D81" s="1">
        <v>11265000</v>
      </c>
      <c r="E81" s="1">
        <v>19824000</v>
      </c>
      <c r="F81" s="1">
        <v>13669000</v>
      </c>
      <c r="G81" s="1">
        <v>57810000</v>
      </c>
      <c r="H81" s="1">
        <v>8440000</v>
      </c>
      <c r="I81" s="1">
        <v>-42126000</v>
      </c>
      <c r="J81" s="1">
        <v>-26627000</v>
      </c>
      <c r="K81" s="1">
        <v>-29659000</v>
      </c>
      <c r="L81" s="1">
        <v>19579000</v>
      </c>
    </row>
    <row r="82" spans="1:20" ht="19" x14ac:dyDescent="0.25">
      <c r="A82" s="5" t="s">
        <v>70</v>
      </c>
      <c r="B82" s="1">
        <v>-11499000</v>
      </c>
      <c r="C82" s="1">
        <v>-25157000</v>
      </c>
      <c r="D82" s="1">
        <v>-11487000</v>
      </c>
      <c r="E82" s="1">
        <v>-45368000</v>
      </c>
      <c r="F82" s="1">
        <v>-20571000</v>
      </c>
      <c r="G82" s="1">
        <v>-42020000</v>
      </c>
      <c r="H82" s="1">
        <v>-12415000</v>
      </c>
      <c r="I82" s="1">
        <v>-34304000</v>
      </c>
      <c r="J82" s="1">
        <v>-18875000</v>
      </c>
      <c r="K82" s="1">
        <v>-27224000</v>
      </c>
      <c r="L82" s="1">
        <v>-8931000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62" t="s">
        <v>126</v>
      </c>
      <c r="T83" s="63"/>
    </row>
    <row r="84" spans="1:20" ht="19" x14ac:dyDescent="0.25">
      <c r="A84" s="5" t="s">
        <v>47</v>
      </c>
      <c r="B84" s="1">
        <v>2046000</v>
      </c>
      <c r="C84" s="1">
        <v>-3177000</v>
      </c>
      <c r="D84" s="1">
        <v>3231000</v>
      </c>
      <c r="E84" s="1">
        <v>-4022000</v>
      </c>
      <c r="F84" s="1">
        <v>-1093000</v>
      </c>
      <c r="G84" s="1">
        <v>6900000</v>
      </c>
      <c r="H84" s="1">
        <v>1655000</v>
      </c>
      <c r="I84" s="1">
        <v>-100000</v>
      </c>
      <c r="J84" s="1">
        <v>-12301000</v>
      </c>
      <c r="K84" s="1">
        <v>15325000</v>
      </c>
      <c r="L84" s="1">
        <v>-252000</v>
      </c>
      <c r="S84" s="64" t="s">
        <v>127</v>
      </c>
      <c r="T84" s="65"/>
    </row>
    <row r="85" spans="1:20" ht="20" x14ac:dyDescent="0.25">
      <c r="A85" s="5" t="s">
        <v>71</v>
      </c>
      <c r="B85" s="1">
        <v>14658000</v>
      </c>
      <c r="C85" s="1">
        <v>35644000</v>
      </c>
      <c r="D85" s="1">
        <v>15090000</v>
      </c>
      <c r="E85" s="1">
        <v>76988000</v>
      </c>
      <c r="F85" s="1">
        <v>38510000</v>
      </c>
      <c r="G85" s="1">
        <v>56010000</v>
      </c>
      <c r="H85" s="1">
        <v>26913000</v>
      </c>
      <c r="I85" s="1">
        <v>4846000</v>
      </c>
      <c r="J85" s="1">
        <v>-6277000</v>
      </c>
      <c r="K85" s="1">
        <v>3857000</v>
      </c>
      <c r="L85" s="1" t="s">
        <v>92</v>
      </c>
      <c r="S85" s="24" t="s">
        <v>128</v>
      </c>
      <c r="T85" s="25">
        <f>L17</f>
        <v>2433000</v>
      </c>
    </row>
    <row r="86" spans="1:20" ht="20" x14ac:dyDescent="0.25">
      <c r="A86" s="5" t="s">
        <v>72</v>
      </c>
      <c r="B86" s="1">
        <v>9383000</v>
      </c>
      <c r="C86" s="1">
        <v>22189000</v>
      </c>
      <c r="D86" s="1">
        <v>12231000</v>
      </c>
      <c r="E86" s="1">
        <v>16905000</v>
      </c>
      <c r="F86" s="1">
        <v>18374000</v>
      </c>
      <c r="G86" s="1">
        <v>21375000</v>
      </c>
      <c r="H86" s="1">
        <v>15877000</v>
      </c>
      <c r="I86" s="1">
        <v>25775000</v>
      </c>
      <c r="J86" s="1">
        <v>37124000</v>
      </c>
      <c r="K86" s="1">
        <v>48728000</v>
      </c>
      <c r="L86" s="1" t="s">
        <v>92</v>
      </c>
      <c r="S86" s="24" t="s">
        <v>129</v>
      </c>
      <c r="T86" s="25">
        <f>L56</f>
        <v>77070000</v>
      </c>
    </row>
    <row r="87" spans="1:20" ht="20" x14ac:dyDescent="0.25">
      <c r="A87" s="6" t="s">
        <v>73</v>
      </c>
      <c r="B87" s="10">
        <v>-81751000</v>
      </c>
      <c r="C87" s="10">
        <v>-91769000</v>
      </c>
      <c r="D87" s="10">
        <v>-84900000</v>
      </c>
      <c r="E87" s="10">
        <v>-66321000</v>
      </c>
      <c r="F87" s="10">
        <v>-1218000</v>
      </c>
      <c r="G87" s="10">
        <v>61822000</v>
      </c>
      <c r="H87" s="10">
        <v>55321000</v>
      </c>
      <c r="I87" s="10">
        <v>44713000</v>
      </c>
      <c r="J87" s="10">
        <v>196834000</v>
      </c>
      <c r="K87" s="10">
        <v>234818000</v>
      </c>
      <c r="L87" s="10">
        <v>297982000</v>
      </c>
      <c r="S87" s="24" t="s">
        <v>130</v>
      </c>
      <c r="T87" s="25">
        <f>L61</f>
        <v>487352000</v>
      </c>
    </row>
    <row r="88" spans="1:20" ht="20" x14ac:dyDescent="0.25">
      <c r="A88" s="5" t="s">
        <v>74</v>
      </c>
      <c r="B88" s="1">
        <v>-19499000</v>
      </c>
      <c r="C88" s="1">
        <v>-24424000</v>
      </c>
      <c r="D88" s="1">
        <v>-38681000</v>
      </c>
      <c r="E88" s="1">
        <v>-72939000</v>
      </c>
      <c r="F88" s="1">
        <v>-14956000</v>
      </c>
      <c r="G88" s="1">
        <v>-11822000</v>
      </c>
      <c r="H88" s="1">
        <v>-14808000</v>
      </c>
      <c r="I88" s="1">
        <v>-5452000</v>
      </c>
      <c r="J88" s="1">
        <v>-9052000</v>
      </c>
      <c r="K88" s="1">
        <v>-4702000</v>
      </c>
      <c r="L88" s="1">
        <v>-4433000</v>
      </c>
      <c r="S88" s="34" t="s">
        <v>131</v>
      </c>
      <c r="T88" s="35">
        <f>T85/(T86+T87)</f>
        <v>4.3106044767921873E-3</v>
      </c>
    </row>
    <row r="89" spans="1:20" ht="20" customHeight="1" x14ac:dyDescent="0.25">
      <c r="A89" s="14" t="s">
        <v>105</v>
      </c>
      <c r="B89" s="15">
        <f t="shared" ref="B89:L89" si="25">(-1*B88)/B3</f>
        <v>0.33163256628739562</v>
      </c>
      <c r="C89" s="15">
        <f t="shared" si="25"/>
        <v>0.19666323112599846</v>
      </c>
      <c r="D89" s="15">
        <f t="shared" si="25"/>
        <v>0.17871465533173167</v>
      </c>
      <c r="E89" s="15">
        <f t="shared" si="25"/>
        <v>0.24095816375072679</v>
      </c>
      <c r="F89" s="15">
        <f t="shared" si="25"/>
        <v>3.7520853978249141E-2</v>
      </c>
      <c r="G89" s="15">
        <f t="shared" si="25"/>
        <v>2.3357081609508792E-2</v>
      </c>
      <c r="H89" s="15">
        <f t="shared" si="25"/>
        <v>2.4339810580782596E-2</v>
      </c>
      <c r="I89" s="15">
        <f t="shared" si="25"/>
        <v>7.8303631955694963E-3</v>
      </c>
      <c r="J89" s="15">
        <f t="shared" si="25"/>
        <v>1.1744100055788367E-2</v>
      </c>
      <c r="K89" s="15">
        <f t="shared" si="25"/>
        <v>5.3778198670527896E-3</v>
      </c>
      <c r="L89" s="15">
        <f t="shared" si="25"/>
        <v>4.4738281557493691E-3</v>
      </c>
      <c r="S89" s="24" t="s">
        <v>106</v>
      </c>
      <c r="T89" s="25">
        <f>L27</f>
        <v>7624000</v>
      </c>
    </row>
    <row r="90" spans="1:20" ht="20" x14ac:dyDescent="0.25">
      <c r="A90" s="5" t="s">
        <v>75</v>
      </c>
      <c r="B90" s="1" t="s">
        <v>92</v>
      </c>
      <c r="C90" s="1" t="s">
        <v>92</v>
      </c>
      <c r="D90" s="1" t="s">
        <v>92</v>
      </c>
      <c r="E90" s="1" t="s">
        <v>92</v>
      </c>
      <c r="F90" s="1" t="s">
        <v>92</v>
      </c>
      <c r="G90" s="1" t="s">
        <v>92</v>
      </c>
      <c r="H90" s="1">
        <v>-458000</v>
      </c>
      <c r="I90" s="1" t="s">
        <v>92</v>
      </c>
      <c r="J90" s="1" t="s">
        <v>92</v>
      </c>
      <c r="K90" s="1">
        <v>-59395000</v>
      </c>
      <c r="L90" s="1" t="s">
        <v>92</v>
      </c>
      <c r="S90" s="24" t="s">
        <v>19</v>
      </c>
      <c r="T90" s="25">
        <f>L25</f>
        <v>34407000</v>
      </c>
    </row>
    <row r="91" spans="1:20" ht="20" x14ac:dyDescent="0.25">
      <c r="A91" s="5" t="s">
        <v>76</v>
      </c>
      <c r="B91" s="1">
        <v>-125000</v>
      </c>
      <c r="C91" s="1" t="s">
        <v>92</v>
      </c>
      <c r="D91" s="1" t="s">
        <v>92</v>
      </c>
      <c r="E91" s="1">
        <v>-112521000</v>
      </c>
      <c r="F91" s="1" t="s">
        <v>92</v>
      </c>
      <c r="G91" s="1" t="s">
        <v>92</v>
      </c>
      <c r="H91" s="1" t="s">
        <v>92</v>
      </c>
      <c r="I91" s="1" t="s">
        <v>92</v>
      </c>
      <c r="J91" s="1" t="s">
        <v>92</v>
      </c>
      <c r="K91" s="1">
        <v>-170000000</v>
      </c>
      <c r="L91" s="1">
        <v>-102088000</v>
      </c>
      <c r="S91" s="34" t="s">
        <v>132</v>
      </c>
      <c r="T91" s="35">
        <f>T89/T90</f>
        <v>0.22158281744993752</v>
      </c>
    </row>
    <row r="92" spans="1:20" ht="20" x14ac:dyDescent="0.25">
      <c r="A92" s="5" t="s">
        <v>77</v>
      </c>
      <c r="B92" s="1">
        <v>20000000</v>
      </c>
      <c r="C92" s="1" t="s">
        <v>92</v>
      </c>
      <c r="D92" s="1" t="s">
        <v>92</v>
      </c>
      <c r="E92" s="1">
        <v>104797000</v>
      </c>
      <c r="F92" s="1">
        <v>7297000</v>
      </c>
      <c r="G92" s="1" t="s">
        <v>92</v>
      </c>
      <c r="H92" s="1">
        <v>1874000</v>
      </c>
      <c r="I92" s="1">
        <v>105000</v>
      </c>
      <c r="J92" s="1">
        <v>107000</v>
      </c>
      <c r="K92" s="1" t="s">
        <v>92</v>
      </c>
      <c r="L92" s="1">
        <v>240000000</v>
      </c>
      <c r="S92" s="36" t="s">
        <v>133</v>
      </c>
      <c r="T92" s="37">
        <f>T88*(1-T91)</f>
        <v>3.355448591912261E-3</v>
      </c>
    </row>
    <row r="93" spans="1:20" ht="19" x14ac:dyDescent="0.25">
      <c r="A93" s="5" t="s">
        <v>78</v>
      </c>
      <c r="B93" s="1">
        <v>-62000</v>
      </c>
      <c r="C93" s="1">
        <v>-7761000</v>
      </c>
      <c r="D93" s="1">
        <v>-202000</v>
      </c>
      <c r="E93" s="1">
        <v>-198000</v>
      </c>
      <c r="F93" s="1">
        <v>87000</v>
      </c>
      <c r="G93" s="1">
        <v>107000</v>
      </c>
      <c r="H93" s="1">
        <v>-2759000</v>
      </c>
      <c r="I93" s="1">
        <v>-7949000</v>
      </c>
      <c r="J93" s="1">
        <v>-7438000</v>
      </c>
      <c r="K93" s="1">
        <v>-5271000</v>
      </c>
      <c r="L93" s="1">
        <v>-17312000</v>
      </c>
      <c r="S93" s="64" t="s">
        <v>134</v>
      </c>
      <c r="T93" s="65"/>
    </row>
    <row r="94" spans="1:20" ht="20" x14ac:dyDescent="0.25">
      <c r="A94" s="6" t="s">
        <v>79</v>
      </c>
      <c r="B94" s="10">
        <v>314000</v>
      </c>
      <c r="C94" s="10">
        <v>-32185000</v>
      </c>
      <c r="D94" s="10">
        <v>-38883000</v>
      </c>
      <c r="E94" s="10">
        <v>-80861000</v>
      </c>
      <c r="F94" s="10">
        <v>-7572000</v>
      </c>
      <c r="G94" s="10">
        <v>-11715000</v>
      </c>
      <c r="H94" s="10">
        <v>-16151000</v>
      </c>
      <c r="I94" s="10">
        <v>-13296000</v>
      </c>
      <c r="J94" s="10">
        <v>-16383000</v>
      </c>
      <c r="K94" s="10">
        <v>-239368000</v>
      </c>
      <c r="L94" s="10">
        <v>120600000</v>
      </c>
      <c r="S94" s="24" t="s">
        <v>135</v>
      </c>
      <c r="T94" s="38">
        <v>4.095E-2</v>
      </c>
    </row>
    <row r="95" spans="1:20" ht="20" x14ac:dyDescent="0.25">
      <c r="A95" s="5" t="s">
        <v>80</v>
      </c>
      <c r="B95" s="1">
        <v>-577000</v>
      </c>
      <c r="C95" s="1">
        <v>-30971000</v>
      </c>
      <c r="D95" s="1">
        <v>-6069000</v>
      </c>
      <c r="E95" s="1">
        <v>-42036000</v>
      </c>
      <c r="F95" s="1">
        <v>-8781000</v>
      </c>
      <c r="G95" s="1">
        <v>-56052000</v>
      </c>
      <c r="H95" s="1">
        <v>-23930000</v>
      </c>
      <c r="I95" s="1">
        <v>-38542000</v>
      </c>
      <c r="J95" s="1">
        <v>-100020000</v>
      </c>
      <c r="K95" s="1">
        <v>-57383000</v>
      </c>
      <c r="L95" s="1">
        <v>-40353000</v>
      </c>
      <c r="S95" s="24" t="s">
        <v>136</v>
      </c>
      <c r="T95" s="57" cm="1">
        <f t="array" ref="T95">_FV(A1,"Beta")</f>
        <v>0.99890000000000001</v>
      </c>
    </row>
    <row r="96" spans="1:20" ht="20" x14ac:dyDescent="0.25">
      <c r="A96" s="5" t="s">
        <v>81</v>
      </c>
      <c r="B96" s="1" t="s">
        <v>92</v>
      </c>
      <c r="C96" s="1" t="s">
        <v>92</v>
      </c>
      <c r="D96" s="1">
        <v>184237000</v>
      </c>
      <c r="E96" s="1" t="s">
        <v>92</v>
      </c>
      <c r="F96" s="1" t="s">
        <v>92</v>
      </c>
      <c r="G96" s="1" t="s">
        <v>92</v>
      </c>
      <c r="H96" s="1" t="s">
        <v>92</v>
      </c>
      <c r="I96" s="1" t="s">
        <v>92</v>
      </c>
      <c r="J96" s="1" t="s">
        <v>92</v>
      </c>
      <c r="K96" s="1">
        <v>25373000</v>
      </c>
      <c r="L96" s="1">
        <v>-103000</v>
      </c>
      <c r="S96" s="24" t="s">
        <v>137</v>
      </c>
      <c r="T96" s="38">
        <v>8.4000000000000005E-2</v>
      </c>
    </row>
    <row r="97" spans="1:20" ht="20" x14ac:dyDescent="0.25">
      <c r="A97" s="5" t="s">
        <v>82</v>
      </c>
      <c r="B97" s="1" t="s">
        <v>92</v>
      </c>
      <c r="C97" s="1" t="s">
        <v>92</v>
      </c>
      <c r="D97" s="1" t="s">
        <v>92</v>
      </c>
      <c r="E97" s="1">
        <v>-2172000</v>
      </c>
      <c r="F97" s="1" t="s">
        <v>92</v>
      </c>
      <c r="G97" s="1" t="s">
        <v>92</v>
      </c>
      <c r="H97" s="1" t="s">
        <v>92</v>
      </c>
      <c r="I97" s="1" t="s">
        <v>92</v>
      </c>
      <c r="J97" s="1" t="s">
        <v>92</v>
      </c>
      <c r="K97" s="1">
        <v>-561571000</v>
      </c>
      <c r="L97" s="1">
        <v>-274172000</v>
      </c>
      <c r="S97" s="36" t="s">
        <v>138</v>
      </c>
      <c r="T97" s="37">
        <f>(T94)+((T95)*(T96-T94))</f>
        <v>8.3952645000000006E-2</v>
      </c>
    </row>
    <row r="98" spans="1:20" ht="19" x14ac:dyDescent="0.25">
      <c r="A98" s="5" t="s">
        <v>83</v>
      </c>
      <c r="B98" s="1" t="s">
        <v>92</v>
      </c>
      <c r="C98" s="1" t="s">
        <v>92</v>
      </c>
      <c r="D98" s="1" t="s">
        <v>92</v>
      </c>
      <c r="E98" s="1" t="s">
        <v>92</v>
      </c>
      <c r="F98" s="1" t="s">
        <v>92</v>
      </c>
      <c r="G98" s="1" t="s">
        <v>92</v>
      </c>
      <c r="H98" s="1" t="s">
        <v>92</v>
      </c>
      <c r="I98" s="1" t="s">
        <v>92</v>
      </c>
      <c r="J98" s="1" t="s">
        <v>92</v>
      </c>
      <c r="K98" s="1">
        <v>-9619000</v>
      </c>
      <c r="L98" s="1">
        <v>-15057000</v>
      </c>
      <c r="S98" s="64" t="s">
        <v>139</v>
      </c>
      <c r="T98" s="65"/>
    </row>
    <row r="99" spans="1:20" ht="20" x14ac:dyDescent="0.25">
      <c r="A99" s="5" t="s">
        <v>84</v>
      </c>
      <c r="B99" s="1">
        <v>173374000</v>
      </c>
      <c r="C99" s="1">
        <v>136136000</v>
      </c>
      <c r="D99" s="1">
        <v>167271000</v>
      </c>
      <c r="E99" s="1">
        <v>46721000</v>
      </c>
      <c r="F99" s="1">
        <v>9260000</v>
      </c>
      <c r="G99" s="1">
        <v>36222000</v>
      </c>
      <c r="H99" s="1">
        <v>-5637000</v>
      </c>
      <c r="I99" s="1">
        <v>-14874000</v>
      </c>
      <c r="J99" s="1">
        <v>318697000</v>
      </c>
      <c r="K99" s="1">
        <v>430339000</v>
      </c>
      <c r="L99" s="1">
        <v>-66810000</v>
      </c>
      <c r="S99" s="24" t="s">
        <v>140</v>
      </c>
      <c r="T99" s="25">
        <f>T86+T87</f>
        <v>564422000</v>
      </c>
    </row>
    <row r="100" spans="1:20" ht="20" x14ac:dyDescent="0.25">
      <c r="A100" s="6" t="s">
        <v>85</v>
      </c>
      <c r="B100" s="10">
        <v>172797000</v>
      </c>
      <c r="C100" s="10">
        <v>105165000</v>
      </c>
      <c r="D100" s="10">
        <v>345439000</v>
      </c>
      <c r="E100" s="10">
        <v>2513000</v>
      </c>
      <c r="F100" s="10">
        <v>479000</v>
      </c>
      <c r="G100" s="10">
        <v>-19830000</v>
      </c>
      <c r="H100" s="10">
        <v>-29567000</v>
      </c>
      <c r="I100" s="10">
        <v>-53416000</v>
      </c>
      <c r="J100" s="10">
        <v>218677000</v>
      </c>
      <c r="K100" s="10">
        <v>-172861000</v>
      </c>
      <c r="L100" s="10">
        <v>-396495000</v>
      </c>
      <c r="S100" s="34" t="s">
        <v>141</v>
      </c>
      <c r="T100" s="35">
        <f>T99/T103</f>
        <v>0.12406564232240774</v>
      </c>
    </row>
    <row r="101" spans="1:20" ht="20" x14ac:dyDescent="0.25">
      <c r="A101" s="5" t="s">
        <v>86</v>
      </c>
      <c r="B101" s="1" t="s">
        <v>92</v>
      </c>
      <c r="C101" s="1">
        <v>15000</v>
      </c>
      <c r="D101" s="1">
        <v>-71000</v>
      </c>
      <c r="E101" s="1">
        <v>-26000</v>
      </c>
      <c r="F101" s="1">
        <v>-39000</v>
      </c>
      <c r="G101" s="1">
        <v>408000</v>
      </c>
      <c r="H101" s="1">
        <v>-273000</v>
      </c>
      <c r="I101" s="1">
        <v>-171000</v>
      </c>
      <c r="J101" s="1">
        <v>797000</v>
      </c>
      <c r="K101" s="1">
        <v>-1212000</v>
      </c>
      <c r="L101" s="1">
        <v>-9935000</v>
      </c>
      <c r="S101" s="24" t="s">
        <v>142</v>
      </c>
      <c r="T101" s="50" cm="1">
        <f t="array" ref="T101">_FV(A1,"Market cap",TRUE)</f>
        <v>3984960000</v>
      </c>
    </row>
    <row r="102" spans="1:20" ht="20" x14ac:dyDescent="0.25">
      <c r="A102" s="6" t="s">
        <v>87</v>
      </c>
      <c r="B102" s="10">
        <v>91360000</v>
      </c>
      <c r="C102" s="10">
        <v>-18774000</v>
      </c>
      <c r="D102" s="10">
        <v>221585000</v>
      </c>
      <c r="E102" s="10">
        <v>-144695000</v>
      </c>
      <c r="F102" s="10">
        <v>-8350000</v>
      </c>
      <c r="G102" s="10">
        <v>30685000</v>
      </c>
      <c r="H102" s="10">
        <v>9330000</v>
      </c>
      <c r="I102" s="10">
        <v>-22170000</v>
      </c>
      <c r="J102" s="10">
        <v>399925000</v>
      </c>
      <c r="K102" s="10">
        <v>-178623000</v>
      </c>
      <c r="L102" s="10">
        <v>12152000</v>
      </c>
      <c r="S102" s="34" t="s">
        <v>143</v>
      </c>
      <c r="T102" s="35">
        <f>T101/T103</f>
        <v>0.8759343576775922</v>
      </c>
    </row>
    <row r="103" spans="1:20" ht="20" x14ac:dyDescent="0.25">
      <c r="A103" s="5" t="s">
        <v>88</v>
      </c>
      <c r="B103" s="1">
        <v>36265000</v>
      </c>
      <c r="C103" s="1">
        <v>127625000</v>
      </c>
      <c r="D103" s="1">
        <v>108851000</v>
      </c>
      <c r="E103" s="1">
        <v>330436000</v>
      </c>
      <c r="F103" s="1">
        <v>185741000</v>
      </c>
      <c r="G103" s="1">
        <v>177391000</v>
      </c>
      <c r="H103" s="1">
        <v>208426000</v>
      </c>
      <c r="I103" s="1">
        <v>217756000</v>
      </c>
      <c r="J103" s="1">
        <v>195586000</v>
      </c>
      <c r="K103" s="1">
        <v>595511000</v>
      </c>
      <c r="L103" s="1">
        <v>416888000</v>
      </c>
      <c r="S103" s="36" t="s">
        <v>144</v>
      </c>
      <c r="T103" s="39">
        <f>T99+T101</f>
        <v>4549382000</v>
      </c>
    </row>
    <row r="104" spans="1:20" ht="20" thickBot="1" x14ac:dyDescent="0.3">
      <c r="A104" s="7" t="s">
        <v>89</v>
      </c>
      <c r="B104" s="11">
        <v>127625000</v>
      </c>
      <c r="C104" s="11">
        <v>108851000</v>
      </c>
      <c r="D104" s="11">
        <v>330436000</v>
      </c>
      <c r="E104" s="11">
        <v>185741000</v>
      </c>
      <c r="F104" s="11">
        <v>177391000</v>
      </c>
      <c r="G104" s="11">
        <v>208076000</v>
      </c>
      <c r="H104" s="11">
        <v>217756000</v>
      </c>
      <c r="I104" s="11">
        <v>195586000</v>
      </c>
      <c r="J104" s="11">
        <v>595511000</v>
      </c>
      <c r="K104" s="11">
        <v>416888000</v>
      </c>
      <c r="L104" s="11">
        <v>429040000</v>
      </c>
      <c r="S104" s="64" t="s">
        <v>145</v>
      </c>
      <c r="T104" s="65"/>
    </row>
    <row r="105" spans="1:20" ht="21" thickTop="1" x14ac:dyDescent="0.25">
      <c r="A105" s="14" t="s">
        <v>107</v>
      </c>
      <c r="B105" s="1"/>
      <c r="C105" s="15">
        <f>(C106/B106)-1</f>
        <v>0.22348783954516738</v>
      </c>
      <c r="D105" s="15">
        <f>(D106/C106)-1</f>
        <v>-1.3795440243961066E-3</v>
      </c>
      <c r="E105" s="15">
        <f>(E106/D106)-1</f>
        <v>0.12722263961933389</v>
      </c>
      <c r="F105" s="15">
        <f>(F106/E106)-1</f>
        <v>-0.88408310697981096</v>
      </c>
      <c r="G105" s="15">
        <f t="shared" ref="G105:L105" si="26">(G106/F106)-1</f>
        <v>-4.0913812291331766</v>
      </c>
      <c r="H105" s="15">
        <f t="shared" si="26"/>
        <v>-0.24495999999999996</v>
      </c>
      <c r="I105" s="15">
        <f t="shared" si="26"/>
        <v>-0.17079889807162529</v>
      </c>
      <c r="J105" s="15">
        <f t="shared" si="26"/>
        <v>4.7610529005877842</v>
      </c>
      <c r="K105" s="15">
        <f t="shared" si="26"/>
        <v>0.24390609058244239</v>
      </c>
      <c r="L105" s="15">
        <f t="shared" si="26"/>
        <v>0.2745362878960107</v>
      </c>
      <c r="M105" s="15"/>
      <c r="N105" s="15"/>
      <c r="O105" s="15"/>
      <c r="P105" s="15"/>
      <c r="Q105" s="15"/>
      <c r="R105" s="15"/>
      <c r="S105" s="26" t="s">
        <v>108</v>
      </c>
      <c r="T105" s="27">
        <f>(T100*T92)+(T102*T97)</f>
        <v>7.3953302058245338E-2</v>
      </c>
    </row>
    <row r="106" spans="1:20" ht="19" x14ac:dyDescent="0.25">
      <c r="A106" s="5" t="s">
        <v>90</v>
      </c>
      <c r="B106" s="1">
        <v>-101312000</v>
      </c>
      <c r="C106" s="1">
        <v>-123954000</v>
      </c>
      <c r="D106" s="1">
        <v>-123783000</v>
      </c>
      <c r="E106" s="1">
        <v>-139531000</v>
      </c>
      <c r="F106" s="1">
        <v>-16174000</v>
      </c>
      <c r="G106" s="1">
        <v>50000000</v>
      </c>
      <c r="H106" s="1">
        <v>37752000</v>
      </c>
      <c r="I106" s="1">
        <v>31304000</v>
      </c>
      <c r="J106" s="1">
        <v>180344000</v>
      </c>
      <c r="K106" s="1">
        <v>224331000</v>
      </c>
      <c r="L106" s="1">
        <v>285918000</v>
      </c>
      <c r="M106" s="58">
        <f>L106*(1+$T$106)</f>
        <v>317936608.60614496</v>
      </c>
      <c r="N106" s="58">
        <f t="shared" ref="N106:Q106" si="27">M106*(1+$T$106)</f>
        <v>353540830.20997983</v>
      </c>
      <c r="O106" s="58">
        <f t="shared" si="27"/>
        <v>393132200.703565</v>
      </c>
      <c r="P106" s="58">
        <f t="shared" si="27"/>
        <v>437157222.0901159</v>
      </c>
      <c r="Q106" s="58">
        <f t="shared" si="27"/>
        <v>486112398.02675861</v>
      </c>
      <c r="R106" s="40" t="s">
        <v>146</v>
      </c>
      <c r="S106" s="41" t="s">
        <v>147</v>
      </c>
      <c r="T106" s="42">
        <f>(SUM(M4:Q4)/5)</f>
        <v>0.11198528461357773</v>
      </c>
    </row>
    <row r="107" spans="1:20" ht="19" x14ac:dyDescent="0.25">
      <c r="A107" s="5"/>
      <c r="B107" s="13"/>
      <c r="C107" s="13"/>
      <c r="D107" s="13"/>
      <c r="E107" s="13"/>
      <c r="F107" s="13"/>
      <c r="G107" s="13"/>
      <c r="H107" s="13"/>
      <c r="I107" s="13"/>
      <c r="J107" s="13"/>
      <c r="K107" s="13"/>
      <c r="L107" s="13"/>
      <c r="M107" s="40"/>
      <c r="N107" s="40"/>
      <c r="O107" s="40"/>
      <c r="P107" s="40"/>
      <c r="Q107" s="43">
        <f>Q106*(1+T107)/(T108-T107)</f>
        <v>10178377903.590334</v>
      </c>
      <c r="R107" s="44" t="s">
        <v>148</v>
      </c>
      <c r="S107" s="45" t="s">
        <v>149</v>
      </c>
      <c r="T107" s="46">
        <v>2.5000000000000001E-2</v>
      </c>
    </row>
    <row r="108" spans="1:20" ht="19" x14ac:dyDescent="0.25">
      <c r="M108" s="43">
        <f t="shared" ref="M108:O108" si="28">M107+M106</f>
        <v>317936608.60614496</v>
      </c>
      <c r="N108" s="43">
        <f t="shared" si="28"/>
        <v>353540830.20997983</v>
      </c>
      <c r="O108" s="43">
        <f t="shared" si="28"/>
        <v>393132200.703565</v>
      </c>
      <c r="P108" s="43">
        <f>P107+P106</f>
        <v>437157222.0901159</v>
      </c>
      <c r="Q108" s="43">
        <f>Q107+Q106</f>
        <v>10664490301.617092</v>
      </c>
      <c r="R108" s="44" t="s">
        <v>144</v>
      </c>
      <c r="S108" s="47" t="s">
        <v>150</v>
      </c>
      <c r="T108" s="48">
        <f>T105</f>
        <v>7.3953302058245338E-2</v>
      </c>
    </row>
    <row r="109" spans="1:20" ht="19" x14ac:dyDescent="0.25">
      <c r="M109" s="60" t="s">
        <v>151</v>
      </c>
      <c r="N109" s="61"/>
    </row>
    <row r="110" spans="1:20" ht="20" x14ac:dyDescent="0.25">
      <c r="M110" s="49" t="s">
        <v>152</v>
      </c>
      <c r="N110" s="50">
        <f>NPV(T108,M108,N108,O108,P108,Q108)</f>
        <v>8713286943.1516342</v>
      </c>
    </row>
    <row r="111" spans="1:20" ht="20" x14ac:dyDescent="0.25">
      <c r="M111" s="49" t="s">
        <v>153</v>
      </c>
      <c r="N111" s="50">
        <f>L40</f>
        <v>461248000</v>
      </c>
    </row>
    <row r="112" spans="1:20" ht="20" x14ac:dyDescent="0.25">
      <c r="M112" s="49" t="s">
        <v>140</v>
      </c>
      <c r="N112" s="50">
        <f>T99</f>
        <v>564422000</v>
      </c>
    </row>
    <row r="113" spans="13:14" ht="20" x14ac:dyDescent="0.25">
      <c r="M113" s="49" t="s">
        <v>154</v>
      </c>
      <c r="N113" s="50">
        <f>N110+N111-N112</f>
        <v>8610112943.1516342</v>
      </c>
    </row>
    <row r="114" spans="13:14" ht="20" x14ac:dyDescent="0.25">
      <c r="M114" s="49" t="s">
        <v>159</v>
      </c>
      <c r="N114" s="51">
        <f>L34*(1+(5*R16))</f>
        <v>180080225.64257261</v>
      </c>
    </row>
    <row r="115" spans="13:14" ht="20" x14ac:dyDescent="0.25">
      <c r="M115" s="52" t="s">
        <v>155</v>
      </c>
      <c r="N115" s="53">
        <f>N113/N114</f>
        <v>47.812650791770913</v>
      </c>
    </row>
    <row r="116" spans="13:14" ht="20" x14ac:dyDescent="0.25">
      <c r="M116" s="49" t="s">
        <v>156</v>
      </c>
      <c r="N116" s="59" cm="1">
        <f t="array" ref="N116">_FV(A1,"Price")</f>
        <v>27.51</v>
      </c>
    </row>
    <row r="117" spans="13:14" ht="20" x14ac:dyDescent="0.25">
      <c r="M117" s="54" t="s">
        <v>157</v>
      </c>
      <c r="N117" s="55">
        <f>N115/N116-1</f>
        <v>0.73800984339407161</v>
      </c>
    </row>
    <row r="118" spans="13:14" ht="20" x14ac:dyDescent="0.25">
      <c r="M118" s="54" t="s">
        <v>158</v>
      </c>
      <c r="N118" s="56" t="str">
        <f>IF(N115&gt;N116,"BUY","SELL")</f>
        <v>BUY</v>
      </c>
    </row>
  </sheetData>
  <mergeCells count="6">
    <mergeCell ref="M109:N109"/>
    <mergeCell ref="S83:T83"/>
    <mergeCell ref="S84:T84"/>
    <mergeCell ref="S93:T93"/>
    <mergeCell ref="S98:T98"/>
    <mergeCell ref="S104:T104"/>
  </mergeCells>
  <hyperlinks>
    <hyperlink ref="A1" r:id="rId1" tooltip="https://roic.ai/company/BOX" display="ROIC.AI | BO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72612/000119312515112029/0001193125-15-112029-index.htm" xr:uid="{00000000-0004-0000-0000-000007000000}"/>
    <hyperlink ref="D74" r:id="rId7" tooltip="https://www.sec.gov/Archives/edgar/data/1372612/000119312515112029/0001193125-15-112029-index.htm" xr:uid="{00000000-0004-0000-0000-000008000000}"/>
    <hyperlink ref="E36" r:id="rId8" tooltip="https://www.sec.gov/Archives/edgar/data/1372612/000156459016015649/0001564590-16-015649-index.html" xr:uid="{00000000-0004-0000-0000-00000A000000}"/>
    <hyperlink ref="E74" r:id="rId9" tooltip="https://www.sec.gov/Archives/edgar/data/1372612/000156459016015649/0001564590-16-015649-index.html" xr:uid="{00000000-0004-0000-0000-00000B000000}"/>
    <hyperlink ref="F36" r:id="rId10" tooltip="https://www.sec.gov/Archives/edgar/data/1372612/000156459017005227/0001564590-17-005227-index.html" xr:uid="{00000000-0004-0000-0000-00000D000000}"/>
    <hyperlink ref="F74" r:id="rId11" tooltip="https://www.sec.gov/Archives/edgar/data/1372612/000156459017005227/0001564590-17-005227-index.html" xr:uid="{00000000-0004-0000-0000-00000E000000}"/>
    <hyperlink ref="G36" r:id="rId12" tooltip="https://www.sec.gov/Archives/edgar/data/1372612/000156459018006572/0001564590-18-006572-index.html" xr:uid="{00000000-0004-0000-0000-000010000000}"/>
    <hyperlink ref="G74" r:id="rId13" tooltip="https://www.sec.gov/Archives/edgar/data/1372612/000156459018006572/0001564590-18-006572-index.html" xr:uid="{00000000-0004-0000-0000-000011000000}"/>
    <hyperlink ref="H36" r:id="rId14" tooltip="https://www.sec.gov/Archives/edgar/data/1372612/000156459019008669/0001564590-19-008669-index.html" xr:uid="{00000000-0004-0000-0000-000013000000}"/>
    <hyperlink ref="H74" r:id="rId15" tooltip="https://www.sec.gov/Archives/edgar/data/1372612/000156459019008669/0001564590-19-008669-index.html" xr:uid="{00000000-0004-0000-0000-000014000000}"/>
    <hyperlink ref="I36" r:id="rId16" tooltip="https://www.sec.gov/Archives/edgar/data/1372612/000156459020011799/0001564590-20-011799-index.html" xr:uid="{00000000-0004-0000-0000-000016000000}"/>
    <hyperlink ref="I74" r:id="rId17" tooltip="https://www.sec.gov/Archives/edgar/data/1372612/000156459020011799/0001564590-20-011799-index.html" xr:uid="{00000000-0004-0000-0000-000017000000}"/>
    <hyperlink ref="J36" r:id="rId18" tooltip="https://www.sec.gov/Archives/edgar/data/1372612/000156459021014377/0001564590-21-014377-index.htm" xr:uid="{00000000-0004-0000-0000-000019000000}"/>
    <hyperlink ref="J74" r:id="rId19" tooltip="https://www.sec.gov/Archives/edgar/data/1372612/000156459021014377/0001564590-21-014377-index.htm" xr:uid="{00000000-0004-0000-0000-00001A000000}"/>
    <hyperlink ref="K36" r:id="rId20" tooltip="https://www.sec.gov/Archives/edgar/data/1372612/000095017022003913/0000950170-22-003913-index.htm" xr:uid="{00000000-0004-0000-0000-00001C000000}"/>
    <hyperlink ref="K74" r:id="rId21" tooltip="https://www.sec.gov/Archives/edgar/data/1372612/000095017022003913/0000950170-22-003913-index.htm" xr:uid="{00000000-0004-0000-0000-00001D000000}"/>
    <hyperlink ref="L36" r:id="rId22" tooltip="https://sec.gov" xr:uid="{00000000-0004-0000-0000-00001F000000}"/>
    <hyperlink ref="L74" r:id="rId23" tooltip="https://sec.gov" xr:uid="{00000000-0004-0000-0000-000020000000}"/>
    <hyperlink ref="M1" r:id="rId24" display="https://finbox.com/NYSE:BOX/explorer/revenue_proj" xr:uid="{A2731C4D-6180-E74E-B864-12568EA7F522}"/>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2023-03-13T17:27:14Z</dcterms:created>
  <dcterms:modified xsi:type="dcterms:W3CDTF">2023-05-22T08:32:26Z</dcterms:modified>
</cp:coreProperties>
</file>