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71911670-183E-C446-AD5D-93B8277B5C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" i="1" l="1" a="1"/>
  <c r="J114" i="1" s="1"/>
  <c r="J30" i="1"/>
  <c r="K30" i="1"/>
  <c r="L30" i="1"/>
  <c r="M30" i="1"/>
  <c r="I30" i="1"/>
  <c r="I29" i="1"/>
  <c r="J29" i="1"/>
  <c r="K29" i="1"/>
  <c r="L29" i="1"/>
  <c r="M29" i="1"/>
  <c r="J21" i="1"/>
  <c r="K21" i="1"/>
  <c r="L21" i="1"/>
  <c r="M21" i="1"/>
  <c r="I21" i="1"/>
  <c r="I20" i="1"/>
  <c r="J20" i="1"/>
  <c r="K20" i="1"/>
  <c r="L20" i="1"/>
  <c r="M20" i="1"/>
  <c r="J116" i="1" a="1"/>
  <c r="J116" i="1" s="1"/>
  <c r="P101" i="1" a="1"/>
  <c r="P101" i="1" s="1"/>
  <c r="O19" i="1" s="1"/>
  <c r="P95" i="1" a="1"/>
  <c r="P95" i="1" s="1"/>
  <c r="P97" i="1" s="1"/>
  <c r="J111" i="1"/>
  <c r="P90" i="1"/>
  <c r="P89" i="1"/>
  <c r="P91" i="1"/>
  <c r="P87" i="1"/>
  <c r="P86" i="1"/>
  <c r="P99" i="1"/>
  <c r="P85" i="1"/>
  <c r="P88" i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Q4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5" i="1"/>
  <c r="H105" i="1"/>
  <c r="F105" i="1"/>
  <c r="E105" i="1"/>
  <c r="D105" i="1"/>
  <c r="C105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92" i="1"/>
  <c r="J112" i="1"/>
  <c r="P19" i="1" l="1"/>
  <c r="P106" i="1"/>
  <c r="I106" i="1" s="1"/>
  <c r="J106" i="1" s="1"/>
  <c r="I108" i="1"/>
  <c r="Q16" i="1"/>
  <c r="P16" i="1"/>
  <c r="O16" i="1"/>
  <c r="P103" i="1"/>
  <c r="P100" i="1" s="1"/>
  <c r="K106" i="1" l="1"/>
  <c r="J108" i="1"/>
  <c r="P102" i="1"/>
  <c r="P105" i="1" s="1"/>
  <c r="P108" i="1" s="1"/>
  <c r="M107" i="1" s="1"/>
  <c r="M108" i="1" s="1"/>
  <c r="L106" i="1" l="1"/>
  <c r="K108" i="1"/>
  <c r="L108" i="1" l="1"/>
  <c r="M106" i="1"/>
  <c r="J110" i="1" s="1"/>
  <c r="J113" i="1" s="1"/>
  <c r="J115" i="1" s="1"/>
  <c r="J118" i="1" s="1"/>
  <c r="J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<sst xmlns="http://schemas.openxmlformats.org/spreadsheetml/2006/main" count="328" uniqueCount="162">
  <si>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</si>
  <si>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</si>
  <si>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</si>
  <si>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</si>
  <si>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</si>
  <si>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</si>
  <si>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</si>
  <si>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</si>
  <si>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</si>
  <si>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</si>
  <si>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</si>
  <si>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</si>
  <si>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</si>
  <si>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</si>
  <si>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</si>
  <si>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</si>
  <si>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</si>
  <si>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</si>
  <si>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</si>
  <si>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</si>
  <si>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</si>
  <si>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</si>
  <si>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</si>
  <si>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</si>
  <si>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</si>
  <si>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</si>
  <si>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</si>
  <si>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</si>
  <si>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</si>
  <si>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</si>
  <si>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</si>
  <si>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</si>
  <si>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</si>
  <si>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</si>
  <si>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</si>
  <si>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</si>
  <si>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</si>
  <si>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</si>
  <si>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</si>
  <si>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</si>
  <si>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</si>
  <si>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</si>
  <si>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</si>
  <si>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</si>
  <si>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</si>
  <si>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</si>
  <si>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</si>
  <si>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</si>
  <si>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</si>
  <si>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</si>
  <si>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</si>
  <si>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</si>
  <si>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</si>
  <si>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</si>
  <si>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</si>
  <si>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</si>
  <si>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</si>
  <si>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</si>
  <si>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</si>
  <si>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</si>
  <si>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</si>
  <si>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</si>
  <si>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</si>
  <si>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</si>
  <si>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</si>
  <si>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</si>
  <si>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</si>
  <si>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</si>
  <si>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</si>
  <si>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</si>
  <si>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</si>
  <si>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</si>
  <si>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</si>
  <si>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</si>
  <si>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</si>
  <si>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</si>
  <si>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</si>
  <si>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</si>
  <si>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</si>
  <si>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</si>
  <si>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</si>
  <si>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</si>
  <si>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</si>
  <si>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</si>
  <si>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</si>
  <si>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</si>
  <si>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</si>
  <si>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</si>
  <si>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</si>
  <si>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</si>
  <si>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</si>
  <si>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</si>
  <si>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</si>
  <si>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</si>
  <si>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</si>
  <si>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</si>
  <si>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</si>
  <si>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</si>
  <si>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</si>
  <si>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</si>
  <si>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</si>
  <si>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</si>
  <si>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</si>
  <si>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</si>
  <si>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</si>
  <si>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</si>
  <si>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</si>
  <si>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</si>
  <si>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</si>
  <si>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</si>
  <si>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</si>
  <si>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</si>
  <si>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</si>
  <si>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</si>
  <si>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</si>
  <si>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</si>
  <si>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</si>
  <si>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</si>
  <si>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</si>
  <si>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</si>
  <si>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</si>
  <si>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</si>
  <si>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</si>
  <si>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</si>
  <si>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</si>
  <si>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</si>
  <si>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</si>
  <si>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</si>
  <si>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</si>
  <si>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</si>
  <si>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</si>
  <si>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</si>
  <si>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</si>
  <si>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</si>
  <si>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</si>
  <si>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</si>
  <si>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</si>
  <si>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</si>
  <si>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</si>
  <si>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</si>
  <si>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</si>
  <si>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</si>
  <si>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</si>
  <si>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</si>
  <si>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</si>
  <si>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</si>
  <si>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</si>
  <si>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</si>
  <si>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</si>
  <si>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</si>
  <si>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</si>
  <si>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</si>
  <si>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</si>
  <si>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</si>
  <si>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</si>
  <si>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</si>
  <si>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</si>
  <si>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</si>
  <si>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</si>
  <si>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Forward P/S</t>
  </si>
  <si>
    <t>Shares (No dilution)</t>
  </si>
  <si>
    <t>Forward 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</si>
</sst>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2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168" fontId="12" fillId="5" borderId="10" xfId="0" applyNumberFormat="1" applyFont="1" applyFill="1" applyBorder="1"/>
    <xf numFmtId="164" fontId="13" fillId="0" borderId="2" xfId="0" applyNumberFormat="1" applyFont="1" applyBorder="1"/>
    <xf numFmtId="165" fontId="10" fillId="0" borderId="0" xfId="0" applyNumberFormat="1" applyFont="1"/>
    <xf numFmtId="164" fontId="1" fillId="7" borderId="0" xfId="0" applyNumberFormat="1" applyFont="1" applyFill="1"/>
    <xf numFmtId="164" fontId="10" fillId="7" borderId="0" xfId="0" applyNumberFormat="1" applyFont="1" applyFill="1"/>
    <xf numFmtId="169" fontId="11" fillId="0" borderId="11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164" fontId="13" fillId="0" borderId="3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1681497217118651"/>
          <c:w val="0.86381548599670499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1'!$B$106:$H$106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33337</xdr:rowOff>
    </xdr:from>
    <xdr:to>
      <xdr:col>16</xdr:col>
      <xdr:colOff>31749</xdr:colOff>
      <xdr:row>133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80.989999999999995</v>
    <v>37.369999999999997</v>
    <v>0.98119999999999996</v>
    <v>1.8</v>
    <v>3.2010999999999998E-2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3217</v>
    <v>New York Stock Exchange</v>
    <v>XNYS</v>
    <v>XNYS</v>
    <v>101 Townsend St, SAN FRANCISCO, CA, 94107-1934 US</v>
    <v>58.895000000000003</v>
    <v>Software &amp; IT Services</v>
    <v>Stock</v>
    <v>45071.99967657344</v>
    <v>0</v>
    <v>57.31</v>
    <v>19260841754</v>
    <v>CLOUDFLARE, INC.</v>
    <v>CLOUDFLARE, INC.</v>
    <v>57.93</v>
    <v>56.23</v>
    <v>58.03</v>
    <v>331911800</v>
    <v>NET</v>
    <v>CLOUDFLARE, INC. (XNYS:NET)</v>
    <v>5700194</v>
    <v>7429709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F75" activePane="bottomRight" state="frozen"/>
      <selection pane="topRight"/>
      <selection pane="bottomLeft"/>
      <selection pane="bottomRight" activeCell="M83" sqref="M83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7">
        <v>2023</v>
      </c>
      <c r="J1" s="27">
        <v>2024</v>
      </c>
      <c r="K1" s="27">
        <v>2025</v>
      </c>
      <c r="L1" s="27">
        <v>2026</v>
      </c>
      <c r="M1" s="27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8">
        <v>1282000000</v>
      </c>
      <c r="J3" s="28">
        <v>1668000000</v>
      </c>
      <c r="K3" s="28">
        <v>2151000000</v>
      </c>
      <c r="L3" s="28">
        <v>2988000000</v>
      </c>
      <c r="M3" s="28">
        <v>3825000000</v>
      </c>
      <c r="N3" s="19" t="s">
        <v>109</v>
      </c>
      <c r="O3" s="20" t="s">
        <v>110</v>
      </c>
      <c r="P3" s="20" t="s">
        <v>111</v>
      </c>
      <c r="Q3" s="20" t="s">
        <v>112</v>
      </c>
    </row>
    <row r="4" spans="1:38" ht="19" x14ac:dyDescent="0.25">
      <c r="A4" s="14" t="s">
        <v>94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0.31454686585162017</v>
      </c>
      <c r="J4" s="16">
        <f t="shared" si="0"/>
        <v>0.30109204368174725</v>
      </c>
      <c r="K4" s="16">
        <f t="shared" si="0"/>
        <v>0.28956834532374098</v>
      </c>
      <c r="L4" s="16">
        <f t="shared" si="0"/>
        <v>0.38912133891213396</v>
      </c>
      <c r="M4" s="16">
        <f t="shared" si="0"/>
        <v>0.28012048192771077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(H105+G105+F105)/3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113</v>
      </c>
      <c r="O6" s="20" t="s">
        <v>114</v>
      </c>
      <c r="P6" s="20" t="s">
        <v>115</v>
      </c>
      <c r="Q6" s="20" t="s">
        <v>116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H106/H3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95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96</v>
      </c>
      <c r="O9" s="20" t="s">
        <v>97</v>
      </c>
      <c r="P9" s="20" t="s">
        <v>98</v>
      </c>
      <c r="Q9" s="20" t="s">
        <v>99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117</v>
      </c>
      <c r="O12" s="20" t="s">
        <v>118</v>
      </c>
      <c r="P12" s="20" t="s">
        <v>119</v>
      </c>
      <c r="Q12" s="20" t="s">
        <v>120</v>
      </c>
    </row>
    <row r="13" spans="1:38" ht="19" x14ac:dyDescent="0.25">
      <c r="A13" s="14" t="s">
        <v>100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62">
        <f>H67/H72</f>
        <v>3.1475277419851144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121</v>
      </c>
      <c r="O15" s="20" t="s">
        <v>122</v>
      </c>
      <c r="P15" s="20" t="s">
        <v>123</v>
      </c>
      <c r="Q15" s="20" t="s">
        <v>124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29">
        <f>(H35+G35+F35+E35+D35)/5</f>
        <v>0.13947445605504918</v>
      </c>
      <c r="O16" s="61">
        <f>P101/H3</f>
        <v>19.749827738989644</v>
      </c>
      <c r="P16" s="61">
        <f>P101/H28</f>
        <v>-99.600486883406333</v>
      </c>
      <c r="Q16" s="63">
        <f>P101/H106</f>
        <v>-484.31798018557168</v>
      </c>
    </row>
    <row r="17" spans="1:16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6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125</v>
      </c>
      <c r="O18" s="19" t="s">
        <v>159</v>
      </c>
      <c r="P18" s="20" t="s">
        <v>161</v>
      </c>
    </row>
    <row r="19" spans="1:16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I19" s="57">
        <v>204300000</v>
      </c>
      <c r="J19" s="57">
        <v>265600000</v>
      </c>
      <c r="K19" s="57">
        <v>379000000</v>
      </c>
      <c r="L19" s="57">
        <v>384000000</v>
      </c>
      <c r="M19" s="57">
        <v>528000000</v>
      </c>
      <c r="N19" s="30">
        <f>H40-H56-H61</f>
        <v>72846000</v>
      </c>
      <c r="O19" s="64">
        <f>P101/I3</f>
        <v>15.024057530421217</v>
      </c>
      <c r="P19" s="61">
        <f>P101/I28</f>
        <v>164.0616844463373</v>
      </c>
    </row>
    <row r="20" spans="1:16" ht="19" customHeight="1" x14ac:dyDescent="0.25">
      <c r="A20" s="14" t="s">
        <v>101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  <c r="I20" s="16">
        <f t="shared" ref="I20" si="6">(I19/H19)-1</f>
        <v>-3.4415311256378693</v>
      </c>
      <c r="J20" s="16">
        <f t="shared" ref="J20" si="7">(J19/I19)-1</f>
        <v>0.30004894762604017</v>
      </c>
      <c r="K20" s="16">
        <f t="shared" ref="K20" si="8">(K19/J19)-1</f>
        <v>0.4269578313253013</v>
      </c>
      <c r="L20" s="16">
        <f t="shared" ref="L20" si="9">(L19/K19)-1</f>
        <v>1.3192612137203241E-2</v>
      </c>
      <c r="M20" s="16">
        <f t="shared" ref="M20" si="10">(M19/L19)-1</f>
        <v>0.375</v>
      </c>
    </row>
    <row r="21" spans="1:16" ht="19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  <c r="I21" s="58">
        <f>I19/I3</f>
        <v>0.15936037441497661</v>
      </c>
      <c r="J21" s="58">
        <f t="shared" ref="J21:M21" si="11">J19/J3</f>
        <v>0.15923261390887289</v>
      </c>
      <c r="K21" s="58">
        <f t="shared" si="11"/>
        <v>0.17619711761971177</v>
      </c>
      <c r="L21" s="58">
        <f t="shared" si="11"/>
        <v>0.12851405622489959</v>
      </c>
      <c r="M21" s="58">
        <f t="shared" si="11"/>
        <v>0.1380392156862745</v>
      </c>
    </row>
    <row r="22" spans="1:16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</row>
    <row r="23" spans="1:16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6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6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6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6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6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  <c r="I28" s="71">
        <v>117400000</v>
      </c>
      <c r="J28" s="71">
        <v>148100000</v>
      </c>
      <c r="K28" s="71">
        <v>224500000</v>
      </c>
      <c r="L28" s="71">
        <v>406600000</v>
      </c>
      <c r="M28" s="71">
        <v>637400000</v>
      </c>
    </row>
    <row r="29" spans="1:16" ht="20" customHeight="1" thickTop="1" x14ac:dyDescent="0.25">
      <c r="A29" s="14" t="s">
        <v>102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12">(F28/E28)-1</f>
        <v>0.12796235400839095</v>
      </c>
      <c r="G29" s="15">
        <f t="shared" ref="G29" si="13">(G28/F28)-1</f>
        <v>1.1806902906928038</v>
      </c>
      <c r="H29" s="15">
        <f t="shared" ref="H29" si="14">(H28/G28)-1</f>
        <v>-0.25710981948376732</v>
      </c>
      <c r="I29" s="16">
        <f t="shared" ref="I29" si="15">(I28/H28)-1</f>
        <v>-1.6070916998050482</v>
      </c>
      <c r="J29" s="16">
        <f t="shared" ref="J29" si="16">(J28/I28)-1</f>
        <v>0.26149914821124365</v>
      </c>
      <c r="K29" s="16">
        <f t="shared" ref="K29" si="17">(K28/J28)-1</f>
        <v>0.51586765698852122</v>
      </c>
      <c r="L29" s="16">
        <f t="shared" ref="L29" si="18">(L28/K28)-1</f>
        <v>0.81113585746102457</v>
      </c>
      <c r="M29" s="16">
        <f t="shared" ref="M29" si="19">(M28/L28)-1</f>
        <v>0.56763403836694537</v>
      </c>
    </row>
    <row r="30" spans="1:16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  <c r="I30" s="58">
        <f>I28/I3</f>
        <v>9.1575663026521065E-2</v>
      </c>
      <c r="J30" s="58">
        <f t="shared" ref="J30:M30" si="20">J28/J3</f>
        <v>8.8788968824940043E-2</v>
      </c>
      <c r="K30" s="58">
        <f t="shared" si="20"/>
        <v>0.10437006043700604</v>
      </c>
      <c r="L30" s="58">
        <f t="shared" si="20"/>
        <v>0.1360776439089692</v>
      </c>
      <c r="M30" s="58">
        <f t="shared" si="20"/>
        <v>0.16664052287581699</v>
      </c>
    </row>
    <row r="31" spans="1:16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</row>
    <row r="32" spans="1:16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8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</row>
    <row r="34" spans="1:8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</row>
    <row r="35" spans="1:8" ht="20" customHeight="1" x14ac:dyDescent="0.25">
      <c r="A35" s="14" t="s">
        <v>103</v>
      </c>
      <c r="B35" s="1"/>
      <c r="C35" s="22">
        <f>(C34-B34)/B34</f>
        <v>5.7992937865010405E-2</v>
      </c>
      <c r="D35" s="22">
        <f t="shared" ref="D35:F35" si="21">(D34-C34)/C34</f>
        <v>-5.48141067765896E-2</v>
      </c>
      <c r="E35" s="22">
        <f t="shared" si="21"/>
        <v>-0.38351269583098069</v>
      </c>
      <c r="F35" s="22">
        <f t="shared" si="21"/>
        <v>1.0489521960821839</v>
      </c>
      <c r="G35" s="22">
        <f t="shared" ref="G35" si="22">(G34-F34)/F34</f>
        <v>4.9267114559634922E-2</v>
      </c>
      <c r="H35" s="22">
        <f t="shared" ref="H35" si="23">(H34-G34)/G34</f>
        <v>3.7479772240997258E-2</v>
      </c>
    </row>
    <row r="36" spans="1: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</row>
    <row r="37" spans="1: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</row>
    <row r="38" spans="1:8" ht="19" x14ac:dyDescent="0.25">
      <c r="A38" s="5" t="s">
        <v>30</v>
      </c>
      <c r="B38" s="1" t="s">
        <v>92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8" ht="19" x14ac:dyDescent="0.25">
      <c r="A39" s="5" t="s">
        <v>31</v>
      </c>
      <c r="B39" s="1" t="s">
        <v>92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8" ht="19" x14ac:dyDescent="0.25">
      <c r="A40" s="5" t="s">
        <v>32</v>
      </c>
      <c r="B40" s="1" t="s">
        <v>92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8" ht="19" x14ac:dyDescent="0.25">
      <c r="A41" s="5" t="s">
        <v>33</v>
      </c>
      <c r="B41" s="1" t="s">
        <v>92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</row>
    <row r="43" spans="1:8" ht="19" x14ac:dyDescent="0.25">
      <c r="A43" s="5" t="s">
        <v>35</v>
      </c>
      <c r="B43" s="1" t="s">
        <v>92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8" ht="19" x14ac:dyDescent="0.25">
      <c r="A44" s="6" t="s">
        <v>36</v>
      </c>
      <c r="B44" s="10" t="s">
        <v>92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8" ht="19" x14ac:dyDescent="0.25">
      <c r="A45" s="5" t="s">
        <v>37</v>
      </c>
      <c r="B45" s="1" t="s">
        <v>92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8" ht="19" x14ac:dyDescent="0.25">
      <c r="A46" s="5" t="s">
        <v>38</v>
      </c>
      <c r="B46" s="1" t="s">
        <v>92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8" ht="19" x14ac:dyDescent="0.25">
      <c r="A47" s="5" t="s">
        <v>39</v>
      </c>
      <c r="B47" s="1" t="s">
        <v>92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8" ht="19" x14ac:dyDescent="0.25">
      <c r="A48" s="5" t="s">
        <v>40</v>
      </c>
      <c r="B48" s="1" t="s">
        <v>92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</row>
    <row r="50" spans="1: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</row>
    <row r="51" spans="1:8" ht="19" x14ac:dyDescent="0.25">
      <c r="A51" s="5" t="s">
        <v>43</v>
      </c>
      <c r="B51" s="1" t="s">
        <v>92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92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</row>
    <row r="54" spans="1:8" ht="20" thickBot="1" x14ac:dyDescent="0.3">
      <c r="A54" s="7" t="s">
        <v>46</v>
      </c>
      <c r="B54" s="11" t="s">
        <v>92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92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</row>
    <row r="58" spans="1:8" ht="19" x14ac:dyDescent="0.25">
      <c r="A58" s="5" t="s">
        <v>50</v>
      </c>
      <c r="B58" s="1" t="s">
        <v>92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92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92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92</v>
      </c>
      <c r="C61" s="1">
        <v>255000</v>
      </c>
      <c r="D61" s="1" t="s">
        <v>92</v>
      </c>
      <c r="E61" s="1" t="s">
        <v>92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92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</row>
    <row r="64" spans="1:8" ht="19" x14ac:dyDescent="0.25">
      <c r="A64" s="5" t="s">
        <v>55</v>
      </c>
      <c r="B64" s="1" t="s">
        <v>92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92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</row>
    <row r="67" spans="1:8" ht="19" x14ac:dyDescent="0.25">
      <c r="A67" s="6" t="s">
        <v>58</v>
      </c>
      <c r="B67" s="10" t="s">
        <v>92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92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92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92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92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92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92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</row>
    <row r="75" spans="1: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104</v>
      </c>
      <c r="B80" s="15">
        <f t="shared" ref="B80:H80" si="24">B79/B3</f>
        <v>6.7224115767003573E-2</v>
      </c>
      <c r="C80" s="15">
        <f t="shared" si="24"/>
        <v>2.0420264611051404E-2</v>
      </c>
      <c r="D80" s="15">
        <f t="shared" si="24"/>
        <v>0.14193404403292609</v>
      </c>
      <c r="E80" s="15">
        <f t="shared" si="24"/>
        <v>0.12761042707527645</v>
      </c>
      <c r="F80" s="15">
        <f t="shared" si="24"/>
        <v>0.1306874464980432</v>
      </c>
      <c r="G80" s="15">
        <f t="shared" si="24"/>
        <v>0.13731326912706079</v>
      </c>
      <c r="H80" s="15">
        <f t="shared" si="24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O83" s="67" t="s">
        <v>126</v>
      </c>
      <c r="P83" s="68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69" t="s">
        <v>127</v>
      </c>
      <c r="P84" s="70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92</v>
      </c>
      <c r="O85" s="23" t="s">
        <v>128</v>
      </c>
      <c r="P85" s="24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92</v>
      </c>
      <c r="O86" s="23" t="s">
        <v>129</v>
      </c>
      <c r="P86" s="24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23" t="s">
        <v>130</v>
      </c>
      <c r="P87" s="24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31" t="s">
        <v>131</v>
      </c>
      <c r="P88" s="32">
        <f>P85/(P86+P87)</f>
        <v>3.1602488378920431E-3</v>
      </c>
    </row>
    <row r="89" spans="1:16" ht="20" customHeight="1" x14ac:dyDescent="0.25">
      <c r="A89" s="14" t="s">
        <v>105</v>
      </c>
      <c r="B89" s="15">
        <f t="shared" ref="B89:H89" si="25">(-1*B88)/B3</f>
        <v>0.18749631446733733</v>
      </c>
      <c r="C89" s="15">
        <f t="shared" si="25"/>
        <v>0.14105918541303783</v>
      </c>
      <c r="D89" s="15">
        <f t="shared" si="25"/>
        <v>0.13217143984139013</v>
      </c>
      <c r="E89" s="15">
        <f t="shared" si="25"/>
        <v>0.15082119140693048</v>
      </c>
      <c r="F89" s="15">
        <f t="shared" si="25"/>
        <v>0.13078256108792533</v>
      </c>
      <c r="G89" s="15">
        <f t="shared" si="25"/>
        <v>0.14165496186927393</v>
      </c>
      <c r="H89" s="15">
        <f t="shared" si="25"/>
        <v>0.14725180750194056</v>
      </c>
      <c r="O89" s="23" t="s">
        <v>106</v>
      </c>
      <c r="P89" s="24">
        <f>H27</f>
        <v>2648000</v>
      </c>
    </row>
    <row r="90" spans="1:1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-13941000</v>
      </c>
      <c r="G90" s="1">
        <v>-5605000</v>
      </c>
      <c r="H90" s="1">
        <v>-88187000</v>
      </c>
      <c r="O90" s="23" t="s">
        <v>19</v>
      </c>
      <c r="P90" s="24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31" t="s">
        <v>132</v>
      </c>
      <c r="P91" s="32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33" t="s">
        <v>133</v>
      </c>
      <c r="P92" s="34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69" t="s">
        <v>134</v>
      </c>
      <c r="P93" s="70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23" t="s">
        <v>135</v>
      </c>
      <c r="P94" s="35">
        <v>4.095E-2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92</v>
      </c>
      <c r="O95" s="23" t="s">
        <v>136</v>
      </c>
      <c r="P95" s="36" cm="1">
        <f t="array" ref="P95">_FV(A1,"Beta")</f>
        <v>0.98119999999999996</v>
      </c>
    </row>
    <row r="96" spans="1:1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570544000</v>
      </c>
      <c r="F96" s="1">
        <v>10923000</v>
      </c>
      <c r="G96" s="1" t="s">
        <v>92</v>
      </c>
      <c r="H96" s="1" t="s">
        <v>92</v>
      </c>
      <c r="O96" s="23" t="s">
        <v>137</v>
      </c>
      <c r="P96" s="35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33" t="s">
        <v>138</v>
      </c>
      <c r="P97" s="34">
        <f>(P94)+((P95)*(P96-P94))</f>
        <v>8.319066E-2</v>
      </c>
    </row>
    <row r="98" spans="1:1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O98" s="69" t="s">
        <v>139</v>
      </c>
      <c r="P98" s="70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23" t="s">
        <v>140</v>
      </c>
      <c r="P99" s="24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31" t="s">
        <v>141</v>
      </c>
      <c r="P100" s="32">
        <f>P99/P103</f>
        <v>7.568365915267028E-2</v>
      </c>
    </row>
    <row r="101" spans="1:1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O101" s="23" t="s">
        <v>142</v>
      </c>
      <c r="P101" s="37" cm="1">
        <f t="array" ref="P101">_FV(A1,"Market cap",TRUE)</f>
        <v>19260841754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31" t="s">
        <v>143</v>
      </c>
      <c r="P102" s="32">
        <f>P101/P103</f>
        <v>0.92431634084732972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O103" s="33" t="s">
        <v>144</v>
      </c>
      <c r="P103" s="38">
        <f>P99+P101</f>
        <v>20837932754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O104" s="69" t="s">
        <v>145</v>
      </c>
      <c r="P104" s="70"/>
    </row>
    <row r="105" spans="1:16" ht="21" thickTop="1" x14ac:dyDescent="0.25">
      <c r="A105" s="14" t="s">
        <v>107</v>
      </c>
      <c r="B105" s="1"/>
      <c r="C105" s="15">
        <f>(C106/B106)-1</f>
        <v>-0.37859204417116321</v>
      </c>
      <c r="D105" s="15">
        <f>(D106/C106)-1</f>
        <v>2.9438610662358644</v>
      </c>
      <c r="E105" s="15">
        <f>(E106/D106)-1</f>
        <v>0.23138760880696374</v>
      </c>
      <c r="F105" s="15">
        <f>(F106/E106)-1</f>
        <v>-4.2673292028774568E-2</v>
      </c>
      <c r="G105" s="15">
        <f t="shared" ref="G105:H105" si="26">(G106/F106)-1</f>
        <v>-0.53209325558415044</v>
      </c>
      <c r="H105" s="15">
        <f t="shared" si="26"/>
        <v>-7.7071246228823442E-2</v>
      </c>
      <c r="I105" s="60">
        <v>86291000</v>
      </c>
      <c r="J105" s="60">
        <v>99453000</v>
      </c>
      <c r="K105" s="60">
        <v>153200000</v>
      </c>
      <c r="L105" s="60">
        <v>316100000</v>
      </c>
      <c r="M105" s="60">
        <v>436700000</v>
      </c>
      <c r="N105" s="15"/>
      <c r="O105" s="25" t="s">
        <v>108</v>
      </c>
      <c r="P105" s="26">
        <f>(P100*P92)+(P102*P97)</f>
        <v>7.7136986231951726E-2</v>
      </c>
    </row>
    <row r="106" spans="1:16" ht="19" x14ac:dyDescent="0.25">
      <c r="A106" s="5" t="s">
        <v>90</v>
      </c>
      <c r="B106" s="1">
        <v>-31876000</v>
      </c>
      <c r="C106" s="1">
        <v>-19808000</v>
      </c>
      <c r="D106" s="1">
        <v>-78120000</v>
      </c>
      <c r="E106" s="1">
        <v>-96196000</v>
      </c>
      <c r="F106" s="1">
        <v>-92091000</v>
      </c>
      <c r="G106" s="1">
        <v>-43090000</v>
      </c>
      <c r="H106" s="1">
        <v>-39769000</v>
      </c>
      <c r="I106" s="39">
        <f>H106*(1+$P$106)</f>
        <v>-52291853.058278427</v>
      </c>
      <c r="J106" s="39">
        <f t="shared" ref="J106:M106" si="27">I106*(1+$P$106)</f>
        <v>-68758025.001095906</v>
      </c>
      <c r="K106" s="39">
        <f t="shared" si="27"/>
        <v>-90409226.783040598</v>
      </c>
      <c r="L106" s="39">
        <f t="shared" si="27"/>
        <v>-118878171.4916475</v>
      </c>
      <c r="M106" s="39">
        <f t="shared" si="27"/>
        <v>-156311696.93676114</v>
      </c>
      <c r="N106" s="40" t="s">
        <v>146</v>
      </c>
      <c r="O106" s="41" t="s">
        <v>147</v>
      </c>
      <c r="P106" s="42">
        <f>(SUM(I4:M4)/5)</f>
        <v>0.31488981513939063</v>
      </c>
    </row>
    <row r="107" spans="1:16" ht="19" x14ac:dyDescent="0.25">
      <c r="A107" s="5"/>
      <c r="B107" s="13"/>
      <c r="C107" s="13"/>
      <c r="D107" s="13"/>
      <c r="E107" s="13"/>
      <c r="F107" s="13"/>
      <c r="G107" s="13"/>
      <c r="H107" s="13"/>
      <c r="I107" s="40"/>
      <c r="J107" s="40"/>
      <c r="K107" s="40"/>
      <c r="L107" s="40"/>
      <c r="M107" s="59">
        <f>M105*(1+P107)/(P108-P107)</f>
        <v>8585411861.1420851</v>
      </c>
      <c r="N107" s="44" t="s">
        <v>148</v>
      </c>
      <c r="O107" s="45" t="s">
        <v>149</v>
      </c>
      <c r="P107" s="46">
        <v>2.5000000000000001E-2</v>
      </c>
    </row>
    <row r="108" spans="1:16" ht="19" x14ac:dyDescent="0.25">
      <c r="I108" s="43">
        <f t="shared" ref="I108:K108" si="28">I107+I106</f>
        <v>-52291853.058278427</v>
      </c>
      <c r="J108" s="43">
        <f t="shared" si="28"/>
        <v>-68758025.001095906</v>
      </c>
      <c r="K108" s="43">
        <f t="shared" si="28"/>
        <v>-90409226.783040598</v>
      </c>
      <c r="L108" s="43">
        <f>L107+L106</f>
        <v>-118878171.4916475</v>
      </c>
      <c r="M108" s="59">
        <f>M107+M105</f>
        <v>9022111861.142086</v>
      </c>
      <c r="N108" s="44" t="s">
        <v>144</v>
      </c>
      <c r="O108" s="47" t="s">
        <v>150</v>
      </c>
      <c r="P108" s="48">
        <f>P105</f>
        <v>7.7136986231951726E-2</v>
      </c>
    </row>
    <row r="109" spans="1:16" ht="19" x14ac:dyDescent="0.25">
      <c r="I109" s="65" t="s">
        <v>151</v>
      </c>
      <c r="J109" s="66"/>
    </row>
    <row r="110" spans="1:16" ht="20" x14ac:dyDescent="0.25">
      <c r="I110" s="49" t="s">
        <v>152</v>
      </c>
      <c r="J110" s="37">
        <f>NPV(P108,I108,J108,K108,L108,M108)</f>
        <v>5953871701.9793901</v>
      </c>
    </row>
    <row r="111" spans="1:16" ht="20" x14ac:dyDescent="0.25">
      <c r="I111" s="49" t="s">
        <v>153</v>
      </c>
      <c r="J111" s="37">
        <f>H40</f>
        <v>1649937000</v>
      </c>
    </row>
    <row r="112" spans="1:16" ht="20" x14ac:dyDescent="0.25">
      <c r="I112" s="49" t="s">
        <v>140</v>
      </c>
      <c r="J112" s="37">
        <f>P99</f>
        <v>1577091000</v>
      </c>
    </row>
    <row r="113" spans="9:10" ht="20" x14ac:dyDescent="0.25">
      <c r="I113" s="49" t="s">
        <v>154</v>
      </c>
      <c r="J113" s="37">
        <f>J110+J111-J112</f>
        <v>6026717701.9793901</v>
      </c>
    </row>
    <row r="114" spans="9:10" ht="20" x14ac:dyDescent="0.25">
      <c r="I114" s="49" t="s">
        <v>160</v>
      </c>
      <c r="J114" s="50" cm="1">
        <f t="array" ref="J114">_FV(A1,"Shares outstanding",TRUE)</f>
        <v>331911800</v>
      </c>
    </row>
    <row r="115" spans="9:10" ht="20" x14ac:dyDescent="0.25">
      <c r="I115" s="51" t="s">
        <v>155</v>
      </c>
      <c r="J115" s="56">
        <f>J113/J114</f>
        <v>18.157587955533337</v>
      </c>
    </row>
    <row r="116" spans="9:10" ht="20" x14ac:dyDescent="0.25">
      <c r="I116" s="49" t="s">
        <v>156</v>
      </c>
      <c r="J116" s="52" cm="1">
        <f t="array" ref="J116">_FV(A1,"Price")</f>
        <v>58.03</v>
      </c>
    </row>
    <row r="117" spans="9:10" ht="20" x14ac:dyDescent="0.25">
      <c r="I117" s="53" t="s">
        <v>157</v>
      </c>
      <c r="J117" s="54">
        <f>J115/J116-1</f>
        <v>-0.6870999835338043</v>
      </c>
    </row>
    <row r="118" spans="9:10" ht="20" x14ac:dyDescent="0.25">
      <c r="I118" s="53" t="s">
        <v>158</v>
      </c>
      <c r="J118" s="55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2023-02-23T15:48:59Z</dcterms:created>
  <dcterms:modified xsi:type="dcterms:W3CDTF">2023-05-26T09:36:49Z</dcterms:modified>
</cp:coreProperties>
</file>