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58E2D62-4D96-6342-9443-3BB9572E0A4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M97" i="1" s="1"/>
  <c r="G111" i="1"/>
  <c r="M90" i="1"/>
  <c r="M91" i="1"/>
  <c r="M89" i="1"/>
  <c r="M87"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L19" i="1" l="1"/>
  <c r="M106" i="1"/>
  <c r="F106" i="1" s="1"/>
  <c r="G106" i="1" s="1"/>
  <c r="L16" i="1"/>
  <c r="M103" i="1"/>
  <c r="M100" i="1" s="1"/>
  <c r="M16" i="1"/>
  <c r="N16" i="1"/>
  <c r="F108" i="1" l="1"/>
  <c r="G108" i="1"/>
  <c r="H106" i="1"/>
  <c r="M102" i="1"/>
  <c r="M105" i="1" s="1"/>
  <c r="M108" i="1" s="1"/>
  <c r="J107" i="1" s="1"/>
  <c r="J108" i="1" s="1"/>
  <c r="I106" i="1" l="1"/>
  <c r="H108" i="1"/>
  <c r="J106" i="1" l="1"/>
  <c r="I108" i="1"/>
  <c r="G110" i="1" s="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<sst xmlns="http://schemas.openxmlformats.org/spreadsheetml/2006/main" count="264" uniqueCount="163">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</sst>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CFLT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0777817679871887"/>
          <c:w val="0.87572236610919507"/>
          <c:h val="0.783186041811349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17463</xdr:rowOff>
    </xdr:from>
    <xdr:to>
      <xdr:col>13</xdr:col>
      <xdr:colOff>15874</xdr:colOff>
      <xdr:row>134</xdr:row>
      <xdr:rowOff>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34.39</v>
    <v>16.600000000000001</v>
    <v>2.4910000000000001</v>
    <v>-0.87</v>
    <v>-3.0146000000000003E-2</v>
    <v>0.08</v>
    <v>2.8579999999999999E-3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29.52</v>
    <v>Software &amp; IT Services</v>
    <v>Stock</v>
    <v>45071.979338448436</v>
    <v>0</v>
    <v>27.754999999999999</v>
    <v>8288734680</v>
    <v>CONFLUENT, INC.</v>
    <v>CONFLUENT, INC.</v>
    <v>29.32</v>
    <v>28.86</v>
    <v>27.99</v>
    <v>28.07</v>
    <v>296132000</v>
    <v>CFLT</v>
    <v>CONFLUENT, INC. (XNAS:CFLT)</v>
    <v>3465487</v>
    <v>4400023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6" activePane="bottomRight" state="frozen"/>
      <selection pane="topRight"/>
      <selection pane="bottomLeft"/>
      <selection pane="bottomRight" activeCell="G96" sqref="G9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7">
        <v>2023</v>
      </c>
      <c r="G1" s="27">
        <v>2024</v>
      </c>
      <c r="H1" s="27">
        <v>2025</v>
      </c>
      <c r="I1" s="27">
        <v>2026</v>
      </c>
      <c r="J1" s="27">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149805000</v>
      </c>
      <c r="C3" s="1">
        <v>236577000</v>
      </c>
      <c r="D3" s="1">
        <v>387864000</v>
      </c>
      <c r="E3" s="1">
        <v>585944000</v>
      </c>
      <c r="F3" s="28">
        <v>762900000</v>
      </c>
      <c r="G3" s="28">
        <v>972000000</v>
      </c>
      <c r="H3" s="28">
        <v>1241000000</v>
      </c>
      <c r="I3" s="28">
        <v>1481000000</v>
      </c>
      <c r="J3" s="28">
        <v>1795000000</v>
      </c>
      <c r="K3" s="19" t="s">
        <v>109</v>
      </c>
      <c r="L3" s="20" t="s">
        <v>110</v>
      </c>
      <c r="M3" s="20" t="s">
        <v>111</v>
      </c>
      <c r="N3" s="20" t="s">
        <v>112</v>
      </c>
    </row>
    <row r="4" spans="1:38" ht="19" x14ac:dyDescent="0.25">
      <c r="A4" s="14" t="s">
        <v>94</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(E105+D105+C105)/3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113</v>
      </c>
      <c r="L6" s="20" t="s">
        <v>114</v>
      </c>
      <c r="M6" s="20" t="s">
        <v>115</v>
      </c>
      <c r="N6" s="20" t="s">
        <v>116</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E106/E3</f>
        <v>-0.29318160097210655</v>
      </c>
    </row>
    <row r="8" spans="1:38" ht="19" x14ac:dyDescent="0.25">
      <c r="A8" s="5" t="s">
        <v>5</v>
      </c>
      <c r="B8" s="1">
        <v>58090000</v>
      </c>
      <c r="C8" s="1">
        <v>105399000</v>
      </c>
      <c r="D8" s="1">
        <v>161925000</v>
      </c>
      <c r="E8" s="1">
        <v>264041000</v>
      </c>
    </row>
    <row r="9" spans="1:38" ht="19" customHeight="1" x14ac:dyDescent="0.25">
      <c r="A9" s="14" t="s">
        <v>95</v>
      </c>
      <c r="B9" s="15">
        <f>B8/B3</f>
        <v>0.38777076866593235</v>
      </c>
      <c r="C9" s="15">
        <f t="shared" ref="C9:E9" si="1">C8/C3</f>
        <v>0.44551668167235192</v>
      </c>
      <c r="D9" s="15">
        <f t="shared" si="1"/>
        <v>0.41747880700451706</v>
      </c>
      <c r="E9" s="15">
        <f t="shared" si="1"/>
        <v>0.45062497440028398</v>
      </c>
      <c r="F9" s="15"/>
      <c r="G9" s="15"/>
      <c r="K9" s="19" t="s">
        <v>96</v>
      </c>
      <c r="L9" s="20" t="s">
        <v>97</v>
      </c>
      <c r="M9" s="20" t="s">
        <v>98</v>
      </c>
      <c r="N9" s="20" t="s">
        <v>99</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159</v>
      </c>
      <c r="K12" s="19" t="s">
        <v>117</v>
      </c>
      <c r="L12" s="20" t="s">
        <v>118</v>
      </c>
      <c r="M12" s="20" t="s">
        <v>119</v>
      </c>
      <c r="N12" s="20" t="s">
        <v>120</v>
      </c>
    </row>
    <row r="13" spans="1:38" ht="19" x14ac:dyDescent="0.25">
      <c r="A13" s="14" t="s">
        <v>100</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61">
        <f>E67/E72</f>
        <v>2.0473282502271024</v>
      </c>
    </row>
    <row r="14" spans="1:38" ht="19" x14ac:dyDescent="0.25">
      <c r="A14" s="5" t="s">
        <v>9</v>
      </c>
      <c r="B14" s="1" t="s">
        <v>92</v>
      </c>
      <c r="C14" s="1" t="s">
        <v>92</v>
      </c>
      <c r="D14" s="1" t="s">
        <v>92</v>
      </c>
      <c r="E14" s="1" t="s">
        <v>92</v>
      </c>
    </row>
    <row r="15" spans="1:38" ht="20" x14ac:dyDescent="0.25">
      <c r="A15" s="5" t="s">
        <v>10</v>
      </c>
      <c r="B15" s="1">
        <v>198544000</v>
      </c>
      <c r="C15" s="1">
        <v>394276000</v>
      </c>
      <c r="D15" s="1">
        <v>590192000</v>
      </c>
      <c r="E15" s="1">
        <v>846203000</v>
      </c>
      <c r="K15" s="19" t="s">
        <v>121</v>
      </c>
      <c r="L15" s="20" t="s">
        <v>122</v>
      </c>
      <c r="M15" s="20" t="s">
        <v>123</v>
      </c>
      <c r="N15" s="20" t="s">
        <v>124</v>
      </c>
    </row>
    <row r="16" spans="1:38" ht="19" x14ac:dyDescent="0.25">
      <c r="A16" s="5" t="s">
        <v>11</v>
      </c>
      <c r="B16" s="1">
        <v>247913000</v>
      </c>
      <c r="C16" s="1">
        <v>469752000</v>
      </c>
      <c r="D16" s="1">
        <v>727484000</v>
      </c>
      <c r="E16" s="1">
        <v>1048618000</v>
      </c>
      <c r="K16" s="29">
        <f>(E35+D35+C35+B35)/4</f>
        <v>7.994672062666941E-2</v>
      </c>
      <c r="L16" s="59">
        <f>M101/E3</f>
        <v>14.145950261458433</v>
      </c>
      <c r="M16" s="59">
        <f>M101/E28</f>
        <v>-18.315581404084842</v>
      </c>
      <c r="N16" s="60">
        <f>M101/E106</f>
        <v>-48.249788576617689</v>
      </c>
    </row>
    <row r="17" spans="1:13" ht="19" x14ac:dyDescent="0.25">
      <c r="A17" s="5" t="s">
        <v>12</v>
      </c>
      <c r="B17" s="1" t="s">
        <v>92</v>
      </c>
      <c r="C17" s="1" t="s">
        <v>92</v>
      </c>
      <c r="D17" s="1" t="s">
        <v>92</v>
      </c>
      <c r="E17" s="1">
        <v>0</v>
      </c>
    </row>
    <row r="18" spans="1:13" ht="20" x14ac:dyDescent="0.25">
      <c r="A18" s="5" t="s">
        <v>13</v>
      </c>
      <c r="B18" s="1">
        <v>1202000</v>
      </c>
      <c r="C18" s="1">
        <v>1567000</v>
      </c>
      <c r="D18" s="1">
        <v>3632000</v>
      </c>
      <c r="E18" s="1">
        <v>-1271000</v>
      </c>
      <c r="K18" s="19" t="s">
        <v>125</v>
      </c>
      <c r="L18" s="20" t="s">
        <v>160</v>
      </c>
      <c r="M18" s="20" t="s">
        <v>161</v>
      </c>
    </row>
    <row r="19" spans="1:13" ht="19" x14ac:dyDescent="0.25">
      <c r="A19" s="6" t="s">
        <v>14</v>
      </c>
      <c r="B19" s="10">
        <v>-93845000</v>
      </c>
      <c r="C19" s="10">
        <v>-228468000</v>
      </c>
      <c r="D19" s="10">
        <v>-335995000</v>
      </c>
      <c r="E19" s="10">
        <v>-447529000</v>
      </c>
      <c r="F19" s="57">
        <v>-89920000</v>
      </c>
      <c r="G19" s="57">
        <v>23100000</v>
      </c>
      <c r="H19" s="57">
        <v>90176000</v>
      </c>
      <c r="I19" s="57">
        <v>181700000</v>
      </c>
      <c r="J19" s="57">
        <v>309900000</v>
      </c>
      <c r="K19" s="30">
        <f>E40-E56-E61</f>
        <v>809814000</v>
      </c>
      <c r="L19" s="59">
        <f>M101/F3</f>
        <v>10.864772158867479</v>
      </c>
      <c r="M19" s="62">
        <f>M101/F28</f>
        <v>-163.57945728325868</v>
      </c>
    </row>
    <row r="20" spans="1:13" ht="19" customHeight="1" x14ac:dyDescent="0.25">
      <c r="A20" s="14" t="s">
        <v>101</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3" ht="19" x14ac:dyDescent="0.25">
      <c r="A21" s="5" t="s">
        <v>15</v>
      </c>
      <c r="B21" s="2">
        <v>-0.62639999999999996</v>
      </c>
      <c r="C21" s="2">
        <v>-0.9657</v>
      </c>
      <c r="D21" s="2">
        <v>-0.86629999999999996</v>
      </c>
      <c r="E21" s="2">
        <v>-0.76380000000000003</v>
      </c>
      <c r="F21" s="58">
        <f>F19/F3</f>
        <v>-0.11786603748853061</v>
      </c>
      <c r="G21" s="58">
        <f t="shared" ref="G21:J21" si="4">G19/G3</f>
        <v>2.3765432098765433E-2</v>
      </c>
      <c r="H21" s="58">
        <f t="shared" si="4"/>
        <v>7.2663980660757452E-2</v>
      </c>
      <c r="I21" s="58">
        <f t="shared" si="4"/>
        <v>0.12268737339635381</v>
      </c>
      <c r="J21" s="58">
        <f t="shared" si="4"/>
        <v>0.17264623955431754</v>
      </c>
    </row>
    <row r="22" spans="1:13" ht="19" x14ac:dyDescent="0.25">
      <c r="A22" s="6" t="s">
        <v>16</v>
      </c>
      <c r="B22" s="10">
        <v>-98108000</v>
      </c>
      <c r="C22" s="10">
        <v>-233175000</v>
      </c>
      <c r="D22" s="10">
        <v>-339620000</v>
      </c>
      <c r="E22" s="10">
        <v>-462674000</v>
      </c>
    </row>
    <row r="23" spans="1:13" ht="19" x14ac:dyDescent="0.25">
      <c r="A23" s="5" t="s">
        <v>17</v>
      </c>
      <c r="B23" s="2">
        <v>-0.65490000000000004</v>
      </c>
      <c r="C23" s="2">
        <v>-0.98560000000000003</v>
      </c>
      <c r="D23" s="2">
        <v>-0.87560000000000004</v>
      </c>
      <c r="E23" s="2">
        <v>-0.78959999999999997</v>
      </c>
    </row>
    <row r="24" spans="1:13" ht="19" x14ac:dyDescent="0.25">
      <c r="A24" s="5" t="s">
        <v>18</v>
      </c>
      <c r="B24" s="1">
        <v>3061000</v>
      </c>
      <c r="C24" s="1">
        <v>3140000</v>
      </c>
      <c r="D24" s="1">
        <v>-7000</v>
      </c>
      <c r="E24" s="1">
        <v>16416000</v>
      </c>
    </row>
    <row r="25" spans="1:13" ht="19" x14ac:dyDescent="0.25">
      <c r="A25" s="6" t="s">
        <v>19</v>
      </c>
      <c r="B25" s="10">
        <v>-95047000</v>
      </c>
      <c r="C25" s="10">
        <v>-230035000</v>
      </c>
      <c r="D25" s="10">
        <v>-339627000</v>
      </c>
      <c r="E25" s="10">
        <v>-446258000</v>
      </c>
    </row>
    <row r="26" spans="1:13" ht="19" x14ac:dyDescent="0.25">
      <c r="A26" s="5" t="s">
        <v>20</v>
      </c>
      <c r="B26" s="2">
        <v>-0.63449999999999995</v>
      </c>
      <c r="C26" s="2">
        <v>-0.97230000000000005</v>
      </c>
      <c r="D26" s="2">
        <v>-0.87560000000000004</v>
      </c>
      <c r="E26" s="2">
        <v>-0.76160000000000005</v>
      </c>
    </row>
    <row r="27" spans="1:13" ht="19" x14ac:dyDescent="0.25">
      <c r="A27" s="5" t="s">
        <v>21</v>
      </c>
      <c r="B27" s="1">
        <v>-5000</v>
      </c>
      <c r="C27" s="1">
        <v>-207000</v>
      </c>
      <c r="D27" s="1">
        <v>3174000</v>
      </c>
      <c r="E27" s="1">
        <v>6293000</v>
      </c>
    </row>
    <row r="28" spans="1:13" ht="20" thickBot="1" x14ac:dyDescent="0.3">
      <c r="A28" s="7" t="s">
        <v>22</v>
      </c>
      <c r="B28" s="11">
        <v>-95042000</v>
      </c>
      <c r="C28" s="11">
        <v>-229828000</v>
      </c>
      <c r="D28" s="11">
        <v>-342801000</v>
      </c>
      <c r="E28" s="11">
        <v>-452551000</v>
      </c>
      <c r="F28" s="11">
        <v>-50671000</v>
      </c>
      <c r="G28" s="11">
        <v>44745000</v>
      </c>
      <c r="H28" s="11">
        <v>98118000</v>
      </c>
      <c r="I28" s="11">
        <v>105800000</v>
      </c>
      <c r="J28" s="11">
        <v>196000000</v>
      </c>
    </row>
    <row r="29" spans="1:13" ht="20" customHeight="1" thickTop="1" x14ac:dyDescent="0.25">
      <c r="A29" s="14" t="s">
        <v>102</v>
      </c>
      <c r="B29" s="1"/>
      <c r="C29" s="15">
        <f>(C28/B28)-1</f>
        <v>1.4181730182445658</v>
      </c>
      <c r="D29" s="15">
        <f>(D28/C28)-1</f>
        <v>0.49155455384026325</v>
      </c>
      <c r="E29" s="15">
        <f>(E28/D28)-1</f>
        <v>0.32015659230865712</v>
      </c>
      <c r="F29" s="15">
        <f t="shared" ref="F29:J29" si="5">(F28/E28)-1</f>
        <v>-0.88803250904317965</v>
      </c>
      <c r="G29" s="15">
        <f t="shared" si="5"/>
        <v>-1.8830494760316552</v>
      </c>
      <c r="H29" s="15">
        <f t="shared" si="5"/>
        <v>1.1928260140797855</v>
      </c>
      <c r="I29" s="15">
        <f t="shared" si="5"/>
        <v>7.8293483356774551E-2</v>
      </c>
      <c r="J29" s="15">
        <f t="shared" si="5"/>
        <v>0.85255198487712658</v>
      </c>
    </row>
    <row r="30" spans="1:13" ht="19" x14ac:dyDescent="0.25">
      <c r="A30" s="5" t="s">
        <v>23</v>
      </c>
      <c r="B30" s="2">
        <v>-0.63439999999999996</v>
      </c>
      <c r="C30" s="2">
        <v>-0.97150000000000003</v>
      </c>
      <c r="D30" s="2">
        <v>-0.88380000000000003</v>
      </c>
      <c r="E30" s="2">
        <v>-0.77229999999999999</v>
      </c>
      <c r="F30" s="2">
        <f>F28/F3</f>
        <v>-6.6418927775593134E-2</v>
      </c>
      <c r="G30" s="2">
        <f t="shared" ref="G30:J30" si="6">G28/G3</f>
        <v>4.603395061728395E-2</v>
      </c>
      <c r="H30" s="2">
        <f t="shared" si="6"/>
        <v>7.9063658340048346E-2</v>
      </c>
      <c r="I30" s="2">
        <f t="shared" si="6"/>
        <v>7.1438217420661712E-2</v>
      </c>
      <c r="J30" s="2">
        <f t="shared" si="6"/>
        <v>0.10919220055710306</v>
      </c>
    </row>
    <row r="31" spans="1:13" ht="19" x14ac:dyDescent="0.25">
      <c r="A31" s="5" t="s">
        <v>24</v>
      </c>
      <c r="B31" s="12">
        <v>-0.42</v>
      </c>
      <c r="C31" s="12">
        <v>-1.1399999999999999</v>
      </c>
      <c r="D31" s="12">
        <v>-1.82</v>
      </c>
      <c r="E31" s="12">
        <v>-1.62</v>
      </c>
    </row>
    <row r="32" spans="1:13"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103</v>
      </c>
      <c r="B35" s="1"/>
      <c r="C35" s="22">
        <f>(C34-B34)/B34</f>
        <v>-5.6846923379533433E-2</v>
      </c>
      <c r="D35" s="22">
        <f t="shared" ref="D35:E35" si="7">(D34-C34)/C34</f>
        <v>-0.10819756990521552</v>
      </c>
      <c r="E35" s="22">
        <f t="shared" si="7"/>
        <v>0.4848313757914266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92</v>
      </c>
      <c r="C42" s="1" t="s">
        <v>92</v>
      </c>
      <c r="D42" s="1" t="s">
        <v>92</v>
      </c>
      <c r="E42" s="1" t="s">
        <v>92</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92</v>
      </c>
      <c r="C53" s="1" t="s">
        <v>92</v>
      </c>
      <c r="D53" s="1" t="s">
        <v>92</v>
      </c>
      <c r="E53" s="1" t="s">
        <v>92</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92</v>
      </c>
      <c r="C56" s="1">
        <v>10492000</v>
      </c>
      <c r="D56" s="1">
        <v>9236000</v>
      </c>
      <c r="E56" s="1">
        <v>7375000</v>
      </c>
    </row>
    <row r="57" spans="1:5" ht="19" x14ac:dyDescent="0.25">
      <c r="A57" s="5" t="s">
        <v>49</v>
      </c>
      <c r="B57" s="1">
        <v>2200000</v>
      </c>
      <c r="C57" s="1">
        <v>6756000</v>
      </c>
      <c r="D57" s="1" t="s">
        <v>92</v>
      </c>
      <c r="E57" s="1" t="s">
        <v>92</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92</v>
      </c>
      <c r="C61" s="1" t="s">
        <v>92</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92</v>
      </c>
      <c r="C63" s="1" t="s">
        <v>92</v>
      </c>
      <c r="D63" s="1" t="s">
        <v>92</v>
      </c>
      <c r="E63" s="1" t="s">
        <v>92</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92</v>
      </c>
      <c r="C66" s="1" t="s">
        <v>92</v>
      </c>
      <c r="D66" s="1" t="s">
        <v>92</v>
      </c>
      <c r="E66" s="1" t="s">
        <v>92</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104</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92</v>
      </c>
      <c r="C83" s="1" t="s">
        <v>92</v>
      </c>
      <c r="D83" s="1" t="s">
        <v>92</v>
      </c>
      <c r="E83" s="1" t="s">
        <v>92</v>
      </c>
      <c r="L83" s="67" t="s">
        <v>126</v>
      </c>
      <c r="M83" s="68"/>
    </row>
    <row r="84" spans="1:13" ht="19" x14ac:dyDescent="0.25">
      <c r="A84" s="5" t="s">
        <v>47</v>
      </c>
      <c r="B84" s="1">
        <v>1511000</v>
      </c>
      <c r="C84" s="1">
        <v>-327000</v>
      </c>
      <c r="D84" s="1">
        <v>6143000</v>
      </c>
      <c r="E84" s="1">
        <v>13580000</v>
      </c>
      <c r="L84" s="69" t="s">
        <v>127</v>
      </c>
      <c r="M84" s="70"/>
    </row>
    <row r="85" spans="1:13" ht="20" x14ac:dyDescent="0.25">
      <c r="A85" s="5" t="s">
        <v>71</v>
      </c>
      <c r="B85" s="1">
        <v>21312000</v>
      </c>
      <c r="C85" s="1">
        <v>25948000</v>
      </c>
      <c r="D85" s="1">
        <v>29361000</v>
      </c>
      <c r="E85" s="1" t="s">
        <v>92</v>
      </c>
      <c r="L85" s="23" t="s">
        <v>128</v>
      </c>
      <c r="M85" s="24">
        <f>E17</f>
        <v>0</v>
      </c>
    </row>
    <row r="86" spans="1:13" ht="20" x14ac:dyDescent="0.25">
      <c r="A86" s="5" t="s">
        <v>72</v>
      </c>
      <c r="B86" s="1">
        <v>8399000</v>
      </c>
      <c r="C86" s="1">
        <v>29944000</v>
      </c>
      <c r="D86" s="1">
        <v>55262000</v>
      </c>
      <c r="E86" s="1" t="s">
        <v>92</v>
      </c>
      <c r="L86" s="23" t="s">
        <v>129</v>
      </c>
      <c r="M86" s="24">
        <f>E56</f>
        <v>7375000</v>
      </c>
    </row>
    <row r="87" spans="1:13" ht="20" x14ac:dyDescent="0.25">
      <c r="A87" s="6" t="s">
        <v>73</v>
      </c>
      <c r="B87" s="10">
        <v>-68834000</v>
      </c>
      <c r="C87" s="10">
        <v>-82057000</v>
      </c>
      <c r="D87" s="10">
        <v>-105060000</v>
      </c>
      <c r="E87" s="10">
        <v>-157333000</v>
      </c>
      <c r="L87" s="23" t="s">
        <v>130</v>
      </c>
      <c r="M87" s="24">
        <f>E61</f>
        <v>1109636000</v>
      </c>
    </row>
    <row r="88" spans="1:13" ht="20" x14ac:dyDescent="0.25">
      <c r="A88" s="5" t="s">
        <v>74</v>
      </c>
      <c r="B88" s="1">
        <v>-1954000</v>
      </c>
      <c r="C88" s="1">
        <v>-1040000</v>
      </c>
      <c r="D88" s="1">
        <v>-3600000</v>
      </c>
      <c r="E88" s="1">
        <v>-4121000</v>
      </c>
      <c r="L88" s="31" t="s">
        <v>131</v>
      </c>
      <c r="M88" s="32">
        <f>M85/(M86+M87)</f>
        <v>0</v>
      </c>
    </row>
    <row r="89" spans="1:13" ht="20" customHeight="1" x14ac:dyDescent="0.25">
      <c r="A89" s="14" t="s">
        <v>105</v>
      </c>
      <c r="B89" s="15">
        <f t="shared" ref="B89:E89" si="9">(-1*B88)/B3</f>
        <v>1.3043623377056841E-2</v>
      </c>
      <c r="C89" s="15">
        <f t="shared" si="9"/>
        <v>4.3960317359675706E-3</v>
      </c>
      <c r="D89" s="15">
        <f t="shared" si="9"/>
        <v>9.2816038611472067E-3</v>
      </c>
      <c r="E89" s="15">
        <f t="shared" si="9"/>
        <v>7.0330953128626625E-3</v>
      </c>
      <c r="L89" s="23" t="s">
        <v>106</v>
      </c>
      <c r="M89" s="24">
        <f>E27</f>
        <v>6293000</v>
      </c>
    </row>
    <row r="90" spans="1:13" ht="20" x14ac:dyDescent="0.25">
      <c r="A90" s="5" t="s">
        <v>75</v>
      </c>
      <c r="B90" s="1" t="s">
        <v>92</v>
      </c>
      <c r="C90" s="1" t="s">
        <v>92</v>
      </c>
      <c r="D90" s="1" t="s">
        <v>92</v>
      </c>
      <c r="E90" s="1" t="s">
        <v>92</v>
      </c>
      <c r="L90" s="23" t="s">
        <v>19</v>
      </c>
      <c r="M90" s="24">
        <f>E25</f>
        <v>-446258000</v>
      </c>
    </row>
    <row r="91" spans="1:13" ht="20" x14ac:dyDescent="0.25">
      <c r="A91" s="5" t="s">
        <v>76</v>
      </c>
      <c r="B91" s="1">
        <v>-65978000</v>
      </c>
      <c r="C91" s="1">
        <v>-329616000</v>
      </c>
      <c r="D91" s="1">
        <v>-663595000</v>
      </c>
      <c r="E91" s="1">
        <v>-2051908000</v>
      </c>
      <c r="L91" s="31" t="s">
        <v>132</v>
      </c>
      <c r="M91" s="32">
        <f>M89/M90</f>
        <v>-1.4101707980585222E-2</v>
      </c>
    </row>
    <row r="92" spans="1:13" ht="20" x14ac:dyDescent="0.25">
      <c r="A92" s="5" t="s">
        <v>77</v>
      </c>
      <c r="B92" s="1">
        <v>104248000</v>
      </c>
      <c r="C92" s="1">
        <v>157407000</v>
      </c>
      <c r="D92" s="1">
        <v>271942000</v>
      </c>
      <c r="E92" s="1">
        <v>1200558000</v>
      </c>
      <c r="L92" s="33" t="s">
        <v>133</v>
      </c>
      <c r="M92" s="34">
        <f>M88*(1-M91)</f>
        <v>0</v>
      </c>
    </row>
    <row r="93" spans="1:13" ht="19" x14ac:dyDescent="0.25">
      <c r="A93" s="5" t="s">
        <v>78</v>
      </c>
      <c r="B93" s="1">
        <v>-675000</v>
      </c>
      <c r="C93" s="1">
        <v>-3610000</v>
      </c>
      <c r="D93" s="1">
        <v>-5330000</v>
      </c>
      <c r="E93" s="1">
        <v>-10334000</v>
      </c>
      <c r="L93" s="69" t="s">
        <v>134</v>
      </c>
      <c r="M93" s="70"/>
    </row>
    <row r="94" spans="1:13" ht="20" x14ac:dyDescent="0.25">
      <c r="A94" s="6" t="s">
        <v>79</v>
      </c>
      <c r="B94" s="10">
        <v>35641000</v>
      </c>
      <c r="C94" s="10">
        <v>-176859000</v>
      </c>
      <c r="D94" s="10">
        <v>-400583000</v>
      </c>
      <c r="E94" s="10">
        <v>-865805000</v>
      </c>
      <c r="L94" s="23" t="s">
        <v>135</v>
      </c>
      <c r="M94" s="35">
        <v>4.095E-2</v>
      </c>
    </row>
    <row r="95" spans="1:13" ht="20" x14ac:dyDescent="0.25">
      <c r="A95" s="5" t="s">
        <v>80</v>
      </c>
      <c r="B95" s="1" t="s">
        <v>92</v>
      </c>
      <c r="C95" s="1" t="s">
        <v>92</v>
      </c>
      <c r="D95" s="1" t="s">
        <v>92</v>
      </c>
      <c r="E95" s="1" t="s">
        <v>92</v>
      </c>
      <c r="L95" s="23" t="s">
        <v>136</v>
      </c>
      <c r="M95" s="36" cm="1">
        <f t="array" ref="M95">_FV(A1,"Beta")</f>
        <v>2.4910000000000001</v>
      </c>
    </row>
    <row r="96" spans="1:13" ht="20" x14ac:dyDescent="0.25">
      <c r="A96" s="5" t="s">
        <v>81</v>
      </c>
      <c r="B96" s="1" t="s">
        <v>92</v>
      </c>
      <c r="C96" s="1" t="s">
        <v>92</v>
      </c>
      <c r="D96" s="1">
        <v>786600000</v>
      </c>
      <c r="E96" s="1" t="s">
        <v>92</v>
      </c>
      <c r="L96" s="23" t="s">
        <v>137</v>
      </c>
      <c r="M96" s="35">
        <v>8.4000000000000005E-2</v>
      </c>
    </row>
    <row r="97" spans="1:13" ht="20" x14ac:dyDescent="0.25">
      <c r="A97" s="5" t="s">
        <v>82</v>
      </c>
      <c r="B97" s="1" t="s">
        <v>92</v>
      </c>
      <c r="C97" s="1" t="s">
        <v>92</v>
      </c>
      <c r="D97" s="1" t="s">
        <v>92</v>
      </c>
      <c r="E97" s="1" t="s">
        <v>92</v>
      </c>
      <c r="L97" s="33" t="s">
        <v>138</v>
      </c>
      <c r="M97" s="34">
        <f>(M94)+((M95)*(M96-M94))</f>
        <v>0.14818755</v>
      </c>
    </row>
    <row r="98" spans="1:13" ht="19" x14ac:dyDescent="0.25">
      <c r="A98" s="5" t="s">
        <v>83</v>
      </c>
      <c r="B98" s="1" t="s">
        <v>92</v>
      </c>
      <c r="C98" s="1" t="s">
        <v>92</v>
      </c>
      <c r="D98" s="1" t="s">
        <v>92</v>
      </c>
      <c r="E98" s="1" t="s">
        <v>92</v>
      </c>
      <c r="L98" s="69" t="s">
        <v>139</v>
      </c>
      <c r="M98" s="70"/>
    </row>
    <row r="99" spans="1:13" ht="20" x14ac:dyDescent="0.25">
      <c r="A99" s="5" t="s">
        <v>84</v>
      </c>
      <c r="B99" s="1">
        <v>13432000</v>
      </c>
      <c r="C99" s="1">
        <v>276758000</v>
      </c>
      <c r="D99" s="1">
        <v>1057914000</v>
      </c>
      <c r="E99" s="1">
        <v>82241000</v>
      </c>
      <c r="L99" s="23" t="s">
        <v>140</v>
      </c>
      <c r="M99" s="24">
        <f>M86+M87</f>
        <v>1117011000</v>
      </c>
    </row>
    <row r="100" spans="1:13" ht="20" x14ac:dyDescent="0.25">
      <c r="A100" s="6" t="s">
        <v>85</v>
      </c>
      <c r="B100" s="10">
        <v>13432000</v>
      </c>
      <c r="C100" s="10">
        <v>276758000</v>
      </c>
      <c r="D100" s="10">
        <v>1844514000</v>
      </c>
      <c r="E100" s="10">
        <v>82241000</v>
      </c>
      <c r="L100" s="31" t="s">
        <v>141</v>
      </c>
      <c r="M100" s="32">
        <f>M99/M103</f>
        <v>0.11875836727917993</v>
      </c>
    </row>
    <row r="101" spans="1:13" ht="20" x14ac:dyDescent="0.25">
      <c r="A101" s="5" t="s">
        <v>86</v>
      </c>
      <c r="B101" s="1">
        <v>-85000</v>
      </c>
      <c r="C101" s="1">
        <v>-7000</v>
      </c>
      <c r="D101" s="1">
        <v>5000</v>
      </c>
      <c r="E101" s="1">
        <v>-4000</v>
      </c>
      <c r="L101" s="23" t="s">
        <v>142</v>
      </c>
      <c r="M101" s="37" cm="1">
        <f t="array" ref="M101">_FV(A1,"Market cap",TRUE)</f>
        <v>8288734680</v>
      </c>
    </row>
    <row r="102" spans="1:13" ht="20" x14ac:dyDescent="0.25">
      <c r="A102" s="6" t="s">
        <v>87</v>
      </c>
      <c r="B102" s="10">
        <v>-19846000</v>
      </c>
      <c r="C102" s="10">
        <v>17835000</v>
      </c>
      <c r="D102" s="10">
        <v>1338876000</v>
      </c>
      <c r="E102" s="10">
        <v>-940901000</v>
      </c>
      <c r="L102" s="31" t="s">
        <v>143</v>
      </c>
      <c r="M102" s="32">
        <f>M101/M103</f>
        <v>0.88124163272082012</v>
      </c>
    </row>
    <row r="103" spans="1:13" ht="20" x14ac:dyDescent="0.25">
      <c r="A103" s="5" t="s">
        <v>88</v>
      </c>
      <c r="B103" s="1">
        <v>39817000</v>
      </c>
      <c r="C103" s="1">
        <v>19971000</v>
      </c>
      <c r="D103" s="1">
        <v>37806000</v>
      </c>
      <c r="E103" s="1">
        <v>1376682000</v>
      </c>
      <c r="L103" s="33" t="s">
        <v>144</v>
      </c>
      <c r="M103" s="38">
        <f>M99+M101</f>
        <v>9405745680</v>
      </c>
    </row>
    <row r="104" spans="1:13" ht="20" thickBot="1" x14ac:dyDescent="0.3">
      <c r="A104" s="7" t="s">
        <v>89</v>
      </c>
      <c r="B104" s="11">
        <v>19971000</v>
      </c>
      <c r="C104" s="11">
        <v>37806000</v>
      </c>
      <c r="D104" s="11">
        <v>1376682000</v>
      </c>
      <c r="E104" s="11">
        <v>435781000</v>
      </c>
      <c r="L104" s="69" t="s">
        <v>145</v>
      </c>
      <c r="M104" s="70"/>
    </row>
    <row r="105" spans="1:13" ht="21" thickTop="1" x14ac:dyDescent="0.25">
      <c r="A105" s="14" t="s">
        <v>107</v>
      </c>
      <c r="B105" s="1"/>
      <c r="C105" s="15">
        <f>(C106/B106)-1</f>
        <v>0.2082410155651242</v>
      </c>
      <c r="D105" s="15">
        <f>(D106/C106)-1</f>
        <v>0.31479580656694384</v>
      </c>
      <c r="E105" s="15">
        <f>(E106/D106)-1</f>
        <v>0.5068858441079982</v>
      </c>
      <c r="F105" s="63">
        <v>-66692000</v>
      </c>
      <c r="G105" s="63">
        <v>53165000</v>
      </c>
      <c r="H105" s="63">
        <v>126200000</v>
      </c>
      <c r="I105" s="63">
        <v>191000000</v>
      </c>
      <c r="J105" s="63">
        <v>315000000</v>
      </c>
      <c r="K105" s="15"/>
      <c r="L105" s="25" t="s">
        <v>108</v>
      </c>
      <c r="M105" s="26">
        <f>(M100*M92)+(M102*M97)</f>
        <v>0.13058903851089818</v>
      </c>
    </row>
    <row r="106" spans="1:13" ht="19" x14ac:dyDescent="0.25">
      <c r="A106" s="5" t="s">
        <v>90</v>
      </c>
      <c r="B106" s="1">
        <v>-71763000</v>
      </c>
      <c r="C106" s="1">
        <v>-86707000</v>
      </c>
      <c r="D106" s="1">
        <v>-114002000</v>
      </c>
      <c r="E106" s="1">
        <v>-171788000</v>
      </c>
      <c r="F106" s="39">
        <f>E106*(1+$M$106)</f>
        <v>-215018367.21900982</v>
      </c>
      <c r="G106" s="39">
        <f t="shared" ref="G106:J106" si="10">F106*(1+$M$106)</f>
        <v>-269127635.46655738</v>
      </c>
      <c r="H106" s="39">
        <f t="shared" si="10"/>
        <v>-336853474.93149722</v>
      </c>
      <c r="I106" s="39">
        <f t="shared" si="10"/>
        <v>-421622489.1832968</v>
      </c>
      <c r="J106" s="39">
        <f t="shared" si="10"/>
        <v>-527723584.92448312</v>
      </c>
      <c r="K106" s="40" t="s">
        <v>146</v>
      </c>
      <c r="L106" s="41" t="s">
        <v>147</v>
      </c>
      <c r="M106" s="42">
        <f>(SUM(F4:J4)/5)</f>
        <v>0.2516495169570041</v>
      </c>
    </row>
    <row r="107" spans="1:13" ht="19" x14ac:dyDescent="0.25">
      <c r="A107" s="5"/>
      <c r="B107" s="13"/>
      <c r="C107" s="13"/>
      <c r="D107" s="13"/>
      <c r="E107" s="13"/>
      <c r="F107" s="40"/>
      <c r="G107" s="40"/>
      <c r="H107" s="40"/>
      <c r="I107" s="40"/>
      <c r="J107" s="64">
        <f>J105*(1+M107)/(M108-M107)</f>
        <v>3057845819.5419126</v>
      </c>
      <c r="K107" s="44" t="s">
        <v>148</v>
      </c>
      <c r="L107" s="45" t="s">
        <v>149</v>
      </c>
      <c r="M107" s="46">
        <v>2.5000000000000001E-2</v>
      </c>
    </row>
    <row r="108" spans="1:13" ht="19" x14ac:dyDescent="0.25">
      <c r="F108" s="43">
        <f t="shared" ref="F108:H108" si="11">F107+F106</f>
        <v>-215018367.21900982</v>
      </c>
      <c r="G108" s="43">
        <f t="shared" si="11"/>
        <v>-269127635.46655738</v>
      </c>
      <c r="H108" s="43">
        <f t="shared" si="11"/>
        <v>-336853474.93149722</v>
      </c>
      <c r="I108" s="43">
        <f>I107+I106</f>
        <v>-421622489.1832968</v>
      </c>
      <c r="J108" s="64">
        <f>J107+J105</f>
        <v>3372845819.5419126</v>
      </c>
      <c r="K108" s="44" t="s">
        <v>144</v>
      </c>
      <c r="L108" s="47" t="s">
        <v>150</v>
      </c>
      <c r="M108" s="48">
        <f>M105</f>
        <v>0.13058903851089818</v>
      </c>
    </row>
    <row r="109" spans="1:13" ht="19" x14ac:dyDescent="0.25">
      <c r="F109" s="65" t="s">
        <v>151</v>
      </c>
      <c r="G109" s="66"/>
    </row>
    <row r="110" spans="1:13" ht="20" x14ac:dyDescent="0.25">
      <c r="F110" s="49" t="s">
        <v>152</v>
      </c>
      <c r="G110" s="37">
        <f>NPV(M108,F108,G108,H108,I108,J108)</f>
        <v>934010104.88755488</v>
      </c>
    </row>
    <row r="111" spans="1:13" ht="20" x14ac:dyDescent="0.25">
      <c r="F111" s="49" t="s">
        <v>153</v>
      </c>
      <c r="G111" s="37">
        <f>E40</f>
        <v>1926825000</v>
      </c>
    </row>
    <row r="112" spans="1:13" ht="20" x14ac:dyDescent="0.25">
      <c r="F112" s="49" t="s">
        <v>140</v>
      </c>
      <c r="G112" s="37">
        <f>M99</f>
        <v>1117011000</v>
      </c>
    </row>
    <row r="113" spans="6:7" ht="20" x14ac:dyDescent="0.25">
      <c r="F113" s="49" t="s">
        <v>154</v>
      </c>
      <c r="G113" s="37">
        <f>G110+G111-G112</f>
        <v>1743824104.8875551</v>
      </c>
    </row>
    <row r="114" spans="6:7" ht="20" x14ac:dyDescent="0.25">
      <c r="F114" s="49" t="s">
        <v>162</v>
      </c>
      <c r="G114" s="50" cm="1">
        <f t="array" ref="G114">_FV(A1,"Shares outstanding",TRUE)</f>
        <v>296132000</v>
      </c>
    </row>
    <row r="115" spans="6:7" ht="20" x14ac:dyDescent="0.25">
      <c r="F115" s="51" t="s">
        <v>155</v>
      </c>
      <c r="G115" s="56">
        <f>G113/G114</f>
        <v>5.8886716224101248</v>
      </c>
    </row>
    <row r="116" spans="6:7" ht="20" x14ac:dyDescent="0.25">
      <c r="F116" s="49" t="s">
        <v>156</v>
      </c>
      <c r="G116" s="52" cm="1">
        <f t="array" ref="G116">_FV(A1,"Price")</f>
        <v>27.99</v>
      </c>
    </row>
    <row r="117" spans="6:7" ht="20" x14ac:dyDescent="0.25">
      <c r="F117" s="53" t="s">
        <v>157</v>
      </c>
      <c r="G117" s="54">
        <f>G115/G116-1</f>
        <v>-0.78961516175740887</v>
      </c>
    </row>
    <row r="118" spans="6:7" ht="20" x14ac:dyDescent="0.25">
      <c r="F118" s="53" t="s">
        <v>158</v>
      </c>
      <c r="G118" s="55"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2023-05-26T06:57:07Z</dcterms:modified>
</cp:coreProperties>
</file>