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3A37DBD-CC31-2C4D-AEA9-88C04D928AC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H116" i="1" a="1"/>
  <c r="H116" i="1" s="1"/>
  <c r="H111" i="1"/>
  <c r="N101" i="1" a="1"/>
  <c r="N101" i="1" s="1"/>
  <c r="N95" i="1" a="1"/>
  <c r="N95" i="1" s="1"/>
  <c r="N97" i="1" s="1"/>
  <c r="N90" i="1"/>
  <c r="N91" i="1" s="1"/>
  <c r="N89" i="1"/>
  <c r="N87" i="1"/>
  <c r="N86" i="1"/>
  <c r="N99" i="1" s="1"/>
  <c r="N85" i="1"/>
  <c r="N88" i="1" s="1"/>
  <c r="L19" i="1"/>
  <c r="L16" i="1"/>
  <c r="O13" i="1"/>
  <c r="N13" i="1"/>
  <c r="M13" i="1"/>
  <c r="L13" i="1"/>
  <c r="O10" i="1"/>
  <c r="M10" i="1"/>
  <c r="L10" i="1"/>
  <c r="O7" i="1"/>
  <c r="N7" i="1"/>
  <c r="M7" i="1"/>
  <c r="L7" i="1"/>
  <c r="O4" i="1"/>
  <c r="N4" i="1"/>
  <c r="M4" i="1"/>
  <c r="L4" i="1"/>
  <c r="K4" i="1"/>
  <c r="J4" i="1"/>
  <c r="I4" i="1"/>
  <c r="H4" i="1"/>
  <c r="G4" i="1"/>
  <c r="F105" i="1"/>
  <c r="E105" i="1"/>
  <c r="D105" i="1"/>
  <c r="C105"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06" i="1" l="1"/>
  <c r="G106" i="1" s="1"/>
  <c r="H106" i="1" s="1"/>
  <c r="N92" i="1"/>
  <c r="N16" i="1"/>
  <c r="O16" i="1"/>
  <c r="M16" i="1"/>
  <c r="N103" i="1"/>
  <c r="N102" i="1" s="1"/>
  <c r="H112" i="1"/>
  <c r="G108" i="1" l="1"/>
  <c r="I106" i="1"/>
  <c r="H108" i="1"/>
  <c r="N100" i="1"/>
  <c r="N105" i="1" s="1"/>
  <c r="N108" i="1" s="1"/>
  <c r="J106" i="1" l="1"/>
  <c r="I108" i="1"/>
  <c r="K106" i="1" l="1"/>
  <c r="K107" i="1" s="1"/>
  <c r="K108" i="1" s="1"/>
  <c r="J108" i="1"/>
  <c r="H110" i="1" l="1"/>
  <c r="H113" i="1" s="1"/>
  <c r="H115" i="1" s="1"/>
  <c r="H118" i="1" l="1"/>
  <c r="H117"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<sst xmlns="http://schemas.openxmlformats.org/spreadsheetml/2006/main" count="223" uniqueCount="160">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</sst>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CSU.TO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406301824212275E-2"/>
          <c:y val="0.13283603723960116"/>
          <c:w val="0.88413930348258707"/>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17462</xdr:rowOff>
    </xdr:from>
    <xdr:to>
      <xdr:col>13</xdr:col>
      <xdr:colOff>1587499</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2782.56</v>
    <v>1783.98</v>
    <v>0.88139999999999996</v>
    <v>84.36</v>
    <v>3.1893999999999999E-2</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2744.85</v>
    <v>Software &amp; IT Services</v>
    <v>Stock</v>
    <v>45065.833333333336</v>
    <v>0</v>
    <v>2645</v>
    <v>57839314320</v>
    <v>Constellation Software Inc.</v>
    <v>Constellation Software Inc.</v>
    <v>2645</v>
    <v>81.64</v>
    <v>2645</v>
    <v>2729.36</v>
    <v>2729.36</v>
    <v>21191530</v>
    <v>CSU</v>
    <v>Constellation Software Inc. (XTSE:CSU)</v>
    <v>43390</v>
    <v>35230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drawing" Target="../drawings/drawing1.xm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1" activePane="bottomRight" state="frozen"/>
      <selection pane="topRight"/>
      <selection pane="bottomLeft"/>
      <selection pane="bottomRight" activeCell="G93" sqref="G9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3736000000</v>
      </c>
      <c r="C3" s="1">
        <v>4029000000</v>
      </c>
      <c r="D3" s="1">
        <v>4373000000</v>
      </c>
      <c r="E3" s="1">
        <v>5106000000</v>
      </c>
      <c r="F3" s="1">
        <v>6622000000</v>
      </c>
      <c r="G3" s="29">
        <v>8237000000</v>
      </c>
      <c r="H3" s="29">
        <v>9262000000</v>
      </c>
      <c r="I3" s="29">
        <v>10250000000</v>
      </c>
      <c r="J3" s="29">
        <v>11200000000</v>
      </c>
      <c r="K3" s="29">
        <v>12000000000</v>
      </c>
      <c r="L3" s="19" t="s">
        <v>109</v>
      </c>
      <c r="M3" s="20" t="s">
        <v>110</v>
      </c>
      <c r="N3" s="20" t="s">
        <v>111</v>
      </c>
      <c r="O3" s="20" t="s">
        <v>112</v>
      </c>
    </row>
    <row r="4" spans="1:38" ht="19" x14ac:dyDescent="0.25">
      <c r="A4" s="14" t="s">
        <v>94</v>
      </c>
      <c r="B4" s="1"/>
      <c r="C4" s="15">
        <f>(C3/B3)-1</f>
        <v>7.8426124197002123E-2</v>
      </c>
      <c r="D4" s="15">
        <f>(D3/C3)-1</f>
        <v>8.5380987838173272E-2</v>
      </c>
      <c r="E4" s="15">
        <f>(E3/D3)-1</f>
        <v>0.16761948319231657</v>
      </c>
      <c r="F4" s="15">
        <f t="shared" ref="F4:K4" si="0">(F3/E3)-1</f>
        <v>0.29690560125342724</v>
      </c>
      <c r="G4" s="16">
        <f t="shared" si="0"/>
        <v>0.24388402295379041</v>
      </c>
      <c r="H4" s="16">
        <f t="shared" si="0"/>
        <v>0.12443850916595856</v>
      </c>
      <c r="I4" s="16">
        <f t="shared" si="0"/>
        <v>0.10667242496221108</v>
      </c>
      <c r="J4" s="16">
        <f t="shared" si="0"/>
        <v>9.2682926829268375E-2</v>
      </c>
      <c r="K4" s="16">
        <f t="shared" si="0"/>
        <v>7.1428571428571397E-2</v>
      </c>
      <c r="L4" s="17">
        <f>(F4+E4+D4)/3</f>
        <v>0.18330202409463903</v>
      </c>
      <c r="M4" s="17">
        <f>(F20+E20+D20)/3</f>
        <v>0.12713714877109616</v>
      </c>
      <c r="N4" s="17">
        <f>(F29+E29+D29)/3</f>
        <v>0.11984949089026846</v>
      </c>
      <c r="O4" s="17">
        <f>(F105+E105+D105)/3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113</v>
      </c>
      <c r="M6" s="20" t="s">
        <v>114</v>
      </c>
      <c r="N6" s="20" t="s">
        <v>115</v>
      </c>
      <c r="O6" s="20" t="s">
        <v>116</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F106/F3</f>
        <v>0.20084566596194503</v>
      </c>
    </row>
    <row r="8" spans="1:38" ht="19" x14ac:dyDescent="0.25">
      <c r="A8" s="5" t="s">
        <v>5</v>
      </c>
      <c r="B8" s="1">
        <v>133000000</v>
      </c>
      <c r="C8" s="1">
        <v>142000000</v>
      </c>
      <c r="D8" s="1">
        <v>153000000</v>
      </c>
      <c r="E8" s="1">
        <v>167000000</v>
      </c>
      <c r="F8" s="1">
        <v>223000000</v>
      </c>
    </row>
    <row r="9" spans="1:38" ht="19" customHeight="1" x14ac:dyDescent="0.25">
      <c r="A9" s="14" t="s">
        <v>95</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96</v>
      </c>
      <c r="M9" s="20" t="s">
        <v>97</v>
      </c>
      <c r="N9" s="20" t="s">
        <v>98</v>
      </c>
      <c r="O9" s="20" t="s">
        <v>99</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117</v>
      </c>
      <c r="M12" s="20" t="s">
        <v>118</v>
      </c>
      <c r="N12" s="20" t="s">
        <v>119</v>
      </c>
      <c r="O12" s="20" t="s">
        <v>120</v>
      </c>
    </row>
    <row r="13" spans="1:38" ht="19" x14ac:dyDescent="0.25">
      <c r="A13" s="14" t="s">
        <v>100</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121</v>
      </c>
      <c r="M15" s="20" t="s">
        <v>122</v>
      </c>
      <c r="N15" s="20" t="s">
        <v>123</v>
      </c>
      <c r="O15" s="20" t="s">
        <v>124</v>
      </c>
    </row>
    <row r="16" spans="1:38" ht="19" x14ac:dyDescent="0.25">
      <c r="A16" s="5" t="s">
        <v>11</v>
      </c>
      <c r="B16" s="1">
        <f>4037000000</f>
        <v>4037000000</v>
      </c>
      <c r="C16" s="1">
        <v>4270000000</v>
      </c>
      <c r="D16" s="1">
        <v>4528000000</v>
      </c>
      <c r="E16" s="1">
        <v>4965000000</v>
      </c>
      <c r="F16" s="1">
        <v>5885000000</v>
      </c>
      <c r="L16" s="30">
        <f>(F35+E35+D35+C35+B35)/5</f>
        <v>2.1155833950386775E-2</v>
      </c>
      <c r="M16" s="31">
        <f>N101/F3</f>
        <v>8.7344177469042581</v>
      </c>
      <c r="N16" s="31">
        <f>N101/F28</f>
        <v>37.754121618798955</v>
      </c>
      <c r="O16" s="32">
        <f>N101/F106</f>
        <v>43.488206255639099</v>
      </c>
    </row>
    <row r="17" spans="1:12" ht="19" x14ac:dyDescent="0.25">
      <c r="A17" s="5" t="s">
        <v>12</v>
      </c>
      <c r="B17" s="1">
        <v>25500000</v>
      </c>
      <c r="C17" s="1">
        <v>38000000</v>
      </c>
      <c r="D17" s="1">
        <v>41000000</v>
      </c>
      <c r="E17" s="1">
        <v>44000000</v>
      </c>
      <c r="F17" s="1">
        <v>78000000</v>
      </c>
    </row>
    <row r="18" spans="1:12" ht="20" x14ac:dyDescent="0.25">
      <c r="A18" s="5" t="s">
        <v>13</v>
      </c>
      <c r="B18" s="1">
        <v>172000000</v>
      </c>
      <c r="C18" s="1">
        <v>180000000</v>
      </c>
      <c r="D18" s="1">
        <v>188000000</v>
      </c>
      <c r="E18" s="1">
        <v>195000000</v>
      </c>
      <c r="F18" s="1">
        <v>203000000</v>
      </c>
      <c r="L18" s="19" t="s">
        <v>125</v>
      </c>
    </row>
    <row r="19" spans="1:12" ht="19" x14ac:dyDescent="0.25">
      <c r="A19" s="6" t="s">
        <v>14</v>
      </c>
      <c r="B19" s="10">
        <v>1585000000</v>
      </c>
      <c r="C19" s="10">
        <v>1771000000</v>
      </c>
      <c r="D19" s="10">
        <v>1910000000</v>
      </c>
      <c r="E19" s="10">
        <v>2291000000</v>
      </c>
      <c r="F19" s="10">
        <v>2528000000</v>
      </c>
      <c r="L19" s="33">
        <f>F40-F56-F61</f>
        <v>-618000000</v>
      </c>
    </row>
    <row r="20" spans="1:12" ht="19" customHeight="1" x14ac:dyDescent="0.25">
      <c r="A20" s="14" t="s">
        <v>101</v>
      </c>
      <c r="B20" s="1"/>
      <c r="C20" s="15">
        <f>(C19/B19)-1</f>
        <v>0.11735015772870661</v>
      </c>
      <c r="D20" s="15">
        <f>(D19/C19)-1</f>
        <v>7.84867306606436E-2</v>
      </c>
      <c r="E20" s="15">
        <f>(E19/D19)-1</f>
        <v>0.19947643979057594</v>
      </c>
      <c r="F20" s="15">
        <f t="shared" ref="F20" si="5">(F19/E19)-1</f>
        <v>0.10344827586206895</v>
      </c>
    </row>
    <row r="21" spans="1:12" ht="19" x14ac:dyDescent="0.25">
      <c r="A21" s="5" t="s">
        <v>15</v>
      </c>
      <c r="B21" s="2">
        <f>B19/B3</f>
        <v>0.42425053533190576</v>
      </c>
      <c r="C21" s="2">
        <f t="shared" ref="C21:F21" si="6">C19/C3</f>
        <v>0.43956316703896747</v>
      </c>
      <c r="D21" s="2">
        <f t="shared" si="6"/>
        <v>0.43677109535787789</v>
      </c>
      <c r="E21" s="2">
        <f t="shared" si="6"/>
        <v>0.44868781825303566</v>
      </c>
      <c r="F21" s="2">
        <f t="shared" si="6"/>
        <v>0.38175777710661429</v>
      </c>
    </row>
    <row r="22" spans="1:12" ht="19" x14ac:dyDescent="0.25">
      <c r="A22" s="6" t="s">
        <v>16</v>
      </c>
      <c r="B22" s="10">
        <v>1370000000</v>
      </c>
      <c r="C22" s="10">
        <v>1551000000</v>
      </c>
      <c r="D22" s="10">
        <v>1675000000</v>
      </c>
      <c r="E22" s="10">
        <v>1926000000</v>
      </c>
      <c r="F22" s="10">
        <v>2140000000</v>
      </c>
    </row>
    <row r="23" spans="1:12" ht="19" x14ac:dyDescent="0.25">
      <c r="A23" s="5" t="s">
        <v>17</v>
      </c>
      <c r="B23" s="2">
        <f>B22/B3</f>
        <v>0.36670235546038543</v>
      </c>
      <c r="C23" s="2">
        <f t="shared" ref="C23:F23" si="7">C22/C3</f>
        <v>0.38495904690990318</v>
      </c>
      <c r="D23" s="2">
        <f t="shared" si="7"/>
        <v>0.38303224331122798</v>
      </c>
      <c r="E23" s="2">
        <f t="shared" si="7"/>
        <v>0.37720329024676852</v>
      </c>
      <c r="F23" s="2">
        <f t="shared" si="7"/>
        <v>0.32316520688613715</v>
      </c>
    </row>
    <row r="24" spans="1:12" ht="19" x14ac:dyDescent="0.25">
      <c r="A24" s="5" t="s">
        <v>18</v>
      </c>
      <c r="B24" s="1">
        <v>-14000000</v>
      </c>
      <c r="C24" s="1">
        <v>-16000000</v>
      </c>
      <c r="D24" s="1">
        <v>-17000000</v>
      </c>
      <c r="E24" s="1">
        <v>-18000000</v>
      </c>
      <c r="F24" s="1">
        <v>-14000000</v>
      </c>
    </row>
    <row r="25" spans="1:12" ht="19" x14ac:dyDescent="0.25">
      <c r="A25" s="6" t="s">
        <v>19</v>
      </c>
      <c r="B25" s="10">
        <v>1384000000</v>
      </c>
      <c r="C25" s="10">
        <v>1567000000</v>
      </c>
      <c r="D25" s="10">
        <v>1692000000</v>
      </c>
      <c r="E25" s="10">
        <v>1944000000</v>
      </c>
      <c r="F25" s="10">
        <v>2154000000</v>
      </c>
    </row>
    <row r="26" spans="1:12" ht="19" x14ac:dyDescent="0.25">
      <c r="A26" s="5" t="s">
        <v>20</v>
      </c>
      <c r="B26" s="2">
        <f>B25/B3</f>
        <v>0.37044967880085655</v>
      </c>
      <c r="C26" s="2">
        <f t="shared" ref="C26:F26" si="8">C25/C3</f>
        <v>0.38893025564656242</v>
      </c>
      <c r="D26" s="2">
        <f t="shared" si="8"/>
        <v>0.38691973473587926</v>
      </c>
      <c r="E26" s="2">
        <f t="shared" si="8"/>
        <v>0.3807285546415981</v>
      </c>
      <c r="F26" s="2">
        <f t="shared" si="8"/>
        <v>0.32527937179099969</v>
      </c>
    </row>
    <row r="27" spans="1:12" ht="19" x14ac:dyDescent="0.25">
      <c r="A27" s="5" t="s">
        <v>21</v>
      </c>
      <c r="B27" s="1">
        <v>424000000</v>
      </c>
      <c r="C27" s="1">
        <v>473000000</v>
      </c>
      <c r="D27" s="1">
        <v>505000000</v>
      </c>
      <c r="E27" s="1">
        <v>532000000</v>
      </c>
      <c r="F27" s="1">
        <v>622000000</v>
      </c>
    </row>
    <row r="28" spans="1:12" ht="20" thickBot="1" x14ac:dyDescent="0.3">
      <c r="A28" s="7" t="s">
        <v>22</v>
      </c>
      <c r="B28" s="11">
        <v>960000000</v>
      </c>
      <c r="C28" s="11">
        <v>1094000000</v>
      </c>
      <c r="D28" s="11">
        <v>1187000000</v>
      </c>
      <c r="E28" s="11">
        <v>1412000000</v>
      </c>
      <c r="F28" s="11">
        <v>1532000000</v>
      </c>
    </row>
    <row r="29" spans="1:12" ht="20" customHeight="1" thickTop="1" x14ac:dyDescent="0.25">
      <c r="A29" s="14" t="s">
        <v>102</v>
      </c>
      <c r="B29" s="1"/>
      <c r="C29" s="15">
        <f>(C28/B28)-1</f>
        <v>0.13958333333333339</v>
      </c>
      <c r="D29" s="15">
        <f>(D28/C28)-1</f>
        <v>8.5009140767824398E-2</v>
      </c>
      <c r="E29" s="15">
        <f>(E28/D28)-1</f>
        <v>0.18955349620893003</v>
      </c>
      <c r="F29" s="15">
        <f>(F28/E28)-1</f>
        <v>8.4985835694050937E-2</v>
      </c>
    </row>
    <row r="30" spans="1:12" ht="19" x14ac:dyDescent="0.25">
      <c r="A30" s="5" t="s">
        <v>23</v>
      </c>
      <c r="B30" s="2">
        <f>B28/B3</f>
        <v>0.2569593147751606</v>
      </c>
      <c r="C30" s="2">
        <f t="shared" ref="C30:F30" si="9">C28/C3</f>
        <v>0.27153139736907422</v>
      </c>
      <c r="D30" s="2">
        <f t="shared" si="9"/>
        <v>0.27143837182712099</v>
      </c>
      <c r="E30" s="2">
        <f t="shared" si="9"/>
        <v>0.27653740697218959</v>
      </c>
      <c r="F30" s="2">
        <f t="shared" si="9"/>
        <v>0.23135004530353367</v>
      </c>
    </row>
    <row r="31" spans="1:12" ht="19" x14ac:dyDescent="0.25">
      <c r="A31" s="5" t="s">
        <v>24</v>
      </c>
      <c r="B31" s="12">
        <v>11.34</v>
      </c>
      <c r="C31" s="12">
        <v>15.61</v>
      </c>
      <c r="D31" s="12">
        <v>20.53</v>
      </c>
      <c r="E31" s="12">
        <v>26.04</v>
      </c>
      <c r="F31" s="12">
        <v>32.93</v>
      </c>
    </row>
    <row r="32" spans="1:12"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103</v>
      </c>
      <c r="B35" s="1"/>
      <c r="C35" s="23">
        <f>(C34-B34)/B34</f>
        <v>5.3403141361256547E-2</v>
      </c>
      <c r="D35" s="23">
        <f t="shared" ref="D35:F35" si="10">(D34-C34)/C34</f>
        <v>2.3856858846918488E-2</v>
      </c>
      <c r="E35" s="23">
        <f t="shared" si="10"/>
        <v>1.6990291262135922E-2</v>
      </c>
      <c r="F35" s="23">
        <f t="shared" si="10"/>
        <v>1.1528878281622912E-2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588600000</v>
      </c>
      <c r="C38" s="1">
        <v>316000000</v>
      </c>
      <c r="D38" s="1">
        <v>758000000</v>
      </c>
      <c r="E38" s="1">
        <v>763000000</v>
      </c>
      <c r="F38" s="1">
        <v>811000000</v>
      </c>
    </row>
    <row r="39" spans="1:6" ht="19" x14ac:dyDescent="0.25">
      <c r="A39" s="5" t="s">
        <v>31</v>
      </c>
      <c r="B39" s="1" t="s">
        <v>92</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92</v>
      </c>
      <c r="C53" s="1">
        <v>1000000</v>
      </c>
      <c r="D53" s="1" t="s">
        <v>92</v>
      </c>
      <c r="E53" s="1" t="s">
        <v>92</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92</v>
      </c>
      <c r="C66" s="1" t="s">
        <v>92</v>
      </c>
      <c r="D66" s="1" t="s">
        <v>92</v>
      </c>
      <c r="E66" s="1" t="s">
        <v>92</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92</v>
      </c>
      <c r="C71" s="1" t="s">
        <v>92</v>
      </c>
      <c r="D71" s="1" t="s">
        <v>92</v>
      </c>
      <c r="E71" s="1">
        <v>-179000000</v>
      </c>
      <c r="F71" s="1" t="s">
        <v>92</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104</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60" t="s">
        <v>126</v>
      </c>
      <c r="N83" s="61"/>
    </row>
    <row r="84" spans="1:14" ht="19" x14ac:dyDescent="0.25">
      <c r="A84" s="5" t="s">
        <v>47</v>
      </c>
      <c r="B84" s="1" t="s">
        <v>92</v>
      </c>
      <c r="C84" s="1" t="s">
        <v>92</v>
      </c>
      <c r="D84" s="1" t="s">
        <v>92</v>
      </c>
      <c r="E84" s="1" t="s">
        <v>92</v>
      </c>
      <c r="F84" s="1" t="s">
        <v>92</v>
      </c>
      <c r="M84" s="62" t="s">
        <v>127</v>
      </c>
      <c r="N84" s="63"/>
    </row>
    <row r="85" spans="1:14" ht="20" x14ac:dyDescent="0.25">
      <c r="A85" s="5" t="s">
        <v>71</v>
      </c>
      <c r="B85" s="1">
        <v>17600000</v>
      </c>
      <c r="C85" s="1">
        <v>19000000</v>
      </c>
      <c r="D85" s="1">
        <v>34000000</v>
      </c>
      <c r="E85" s="1">
        <v>54000000</v>
      </c>
      <c r="F85" s="1">
        <v>90000000</v>
      </c>
      <c r="M85" s="24" t="s">
        <v>128</v>
      </c>
      <c r="N85" s="25">
        <f>F17</f>
        <v>78000000</v>
      </c>
    </row>
    <row r="86" spans="1:14" ht="20" x14ac:dyDescent="0.25">
      <c r="A86" s="5" t="s">
        <v>72</v>
      </c>
      <c r="B86" s="1">
        <v>-142800000</v>
      </c>
      <c r="C86" s="1">
        <v>-85000000</v>
      </c>
      <c r="D86" s="1">
        <v>-43000000</v>
      </c>
      <c r="E86" s="1">
        <v>241000000</v>
      </c>
      <c r="F86" s="1">
        <v>283000000</v>
      </c>
      <c r="M86" s="24" t="s">
        <v>129</v>
      </c>
      <c r="N86" s="25">
        <f>F56</f>
        <v>423000000</v>
      </c>
    </row>
    <row r="87" spans="1:14" ht="20" x14ac:dyDescent="0.25">
      <c r="A87" s="6" t="s">
        <v>73</v>
      </c>
      <c r="B87" s="10">
        <v>662000000</v>
      </c>
      <c r="C87" s="10">
        <v>767000000</v>
      </c>
      <c r="D87" s="10">
        <v>1186000000</v>
      </c>
      <c r="E87" s="10">
        <v>1300000000</v>
      </c>
      <c r="F87" s="10">
        <v>1297000000</v>
      </c>
      <c r="M87" s="24" t="s">
        <v>130</v>
      </c>
      <c r="N87" s="25">
        <f>F61</f>
        <v>1121000000</v>
      </c>
    </row>
    <row r="88" spans="1:14" ht="20" x14ac:dyDescent="0.25">
      <c r="A88" s="5" t="s">
        <v>74</v>
      </c>
      <c r="B88" s="1">
        <v>-25300000</v>
      </c>
      <c r="C88" s="1">
        <v>-34000000</v>
      </c>
      <c r="D88" s="1">
        <v>-25000000</v>
      </c>
      <c r="E88" s="1">
        <v>-29000000</v>
      </c>
      <c r="F88" s="1">
        <v>-41000000</v>
      </c>
      <c r="M88" s="34" t="s">
        <v>131</v>
      </c>
      <c r="N88" s="35">
        <f>N85/(N86+N87)</f>
        <v>5.0518134715025906E-2</v>
      </c>
    </row>
    <row r="89" spans="1:14" ht="20" customHeight="1" x14ac:dyDescent="0.25">
      <c r="A89" s="14" t="s">
        <v>105</v>
      </c>
      <c r="B89" s="15">
        <f>(-1*B88)/B3</f>
        <v>6.7719486081370449E-3</v>
      </c>
      <c r="C89" s="15">
        <f>(-1*C88)/C3</f>
        <v>8.4388185654008432E-3</v>
      </c>
      <c r="D89" s="15">
        <f>(-1*D88)/D3</f>
        <v>5.716899153898925E-3</v>
      </c>
      <c r="E89" s="15">
        <f>(-1*E88)/E3</f>
        <v>5.6795926361143754E-3</v>
      </c>
      <c r="F89" s="15">
        <f>(-1*F88)/F3</f>
        <v>6.1914829356689823E-3</v>
      </c>
      <c r="M89" s="24" t="s">
        <v>106</v>
      </c>
      <c r="N89" s="25">
        <f>F27</f>
        <v>622000000</v>
      </c>
    </row>
    <row r="90" spans="1:14" ht="20" x14ac:dyDescent="0.25">
      <c r="A90" s="5" t="s">
        <v>75</v>
      </c>
      <c r="B90" s="1">
        <v>-484700000</v>
      </c>
      <c r="C90" s="1">
        <v>-505000000</v>
      </c>
      <c r="D90" s="1">
        <v>-485000000</v>
      </c>
      <c r="E90" s="1">
        <v>-1183000000</v>
      </c>
      <c r="F90" s="1">
        <v>-1663000000</v>
      </c>
      <c r="M90" s="24" t="s">
        <v>19</v>
      </c>
      <c r="N90" s="25">
        <f>F25</f>
        <v>2154000000</v>
      </c>
    </row>
    <row r="91" spans="1:14" ht="20" x14ac:dyDescent="0.25">
      <c r="A91" s="5" t="s">
        <v>76</v>
      </c>
      <c r="B91" s="1">
        <v>-3100000</v>
      </c>
      <c r="C91" s="1">
        <v>-11000000</v>
      </c>
      <c r="D91" s="1">
        <v>-4000000</v>
      </c>
      <c r="E91" s="1">
        <v>-44000000</v>
      </c>
      <c r="F91" s="1">
        <v>-97000000</v>
      </c>
      <c r="M91" s="34" t="s">
        <v>132</v>
      </c>
      <c r="N91" s="35">
        <f>N89/N90</f>
        <v>0.28876508820798513</v>
      </c>
    </row>
    <row r="92" spans="1:14" ht="20" x14ac:dyDescent="0.25">
      <c r="A92" s="5" t="s">
        <v>77</v>
      </c>
      <c r="B92" s="1" t="s">
        <v>92</v>
      </c>
      <c r="C92" s="1" t="s">
        <v>92</v>
      </c>
      <c r="D92" s="1" t="s">
        <v>92</v>
      </c>
      <c r="E92" s="1">
        <v>13000000</v>
      </c>
      <c r="F92" s="1">
        <v>6000000</v>
      </c>
      <c r="M92" s="36" t="s">
        <v>133</v>
      </c>
      <c r="N92" s="37">
        <f>N88*(1-N91)</f>
        <v>3.5930261087938578E-2</v>
      </c>
    </row>
    <row r="93" spans="1:14" ht="19" x14ac:dyDescent="0.25">
      <c r="A93" s="5" t="s">
        <v>78</v>
      </c>
      <c r="B93" s="1">
        <v>5100000</v>
      </c>
      <c r="C93" s="1">
        <v>6000000</v>
      </c>
      <c r="D93" s="1">
        <v>2000000</v>
      </c>
      <c r="E93" s="1">
        <v>5000000</v>
      </c>
      <c r="F93" s="1">
        <v>5000000</v>
      </c>
      <c r="M93" s="62" t="s">
        <v>134</v>
      </c>
      <c r="N93" s="63"/>
    </row>
    <row r="94" spans="1:14" ht="20" x14ac:dyDescent="0.25">
      <c r="A94" s="6" t="s">
        <v>79</v>
      </c>
      <c r="B94" s="10">
        <v>-508000000</v>
      </c>
      <c r="C94" s="10">
        <v>-544000000</v>
      </c>
      <c r="D94" s="10">
        <v>-512000000</v>
      </c>
      <c r="E94" s="10">
        <v>-1238000000</v>
      </c>
      <c r="F94" s="10">
        <v>-1694000000</v>
      </c>
      <c r="M94" s="24" t="s">
        <v>135</v>
      </c>
      <c r="N94" s="38">
        <v>4.095E-2</v>
      </c>
    </row>
    <row r="95" spans="1:14" ht="20" x14ac:dyDescent="0.25">
      <c r="A95" s="5" t="s">
        <v>80</v>
      </c>
      <c r="B95" s="1">
        <v>-500000</v>
      </c>
      <c r="C95" s="1">
        <v>-53000000</v>
      </c>
      <c r="D95" s="1">
        <v>-103000000</v>
      </c>
      <c r="E95" s="1">
        <v>-89000000</v>
      </c>
      <c r="F95" s="1">
        <v>-89000000</v>
      </c>
      <c r="M95" s="24" t="s">
        <v>136</v>
      </c>
      <c r="N95" s="39" cm="1">
        <f t="array" ref="N95">_FV(A1,"Beta")</f>
        <v>0.88139999999999996</v>
      </c>
    </row>
    <row r="96" spans="1:14" ht="20" x14ac:dyDescent="0.25">
      <c r="A96" s="5" t="s">
        <v>81</v>
      </c>
      <c r="B96" s="1" t="s">
        <v>92</v>
      </c>
      <c r="C96" s="1" t="s">
        <v>92</v>
      </c>
      <c r="D96" s="1" t="s">
        <v>92</v>
      </c>
      <c r="E96" s="1" t="s">
        <v>92</v>
      </c>
      <c r="F96" s="1" t="s">
        <v>92</v>
      </c>
      <c r="M96" s="24" t="s">
        <v>137</v>
      </c>
      <c r="N96" s="38">
        <v>8.4000000000000005E-2</v>
      </c>
    </row>
    <row r="97" spans="1:14" ht="20" x14ac:dyDescent="0.25">
      <c r="A97" s="5" t="s">
        <v>82</v>
      </c>
      <c r="B97" s="1" t="s">
        <v>92</v>
      </c>
      <c r="C97" s="1" t="s">
        <v>92</v>
      </c>
      <c r="D97" s="1" t="s">
        <v>92</v>
      </c>
      <c r="E97" s="1" t="s">
        <v>92</v>
      </c>
      <c r="F97" s="1" t="s">
        <v>92</v>
      </c>
      <c r="M97" s="36" t="s">
        <v>138</v>
      </c>
      <c r="N97" s="37">
        <f>(N94)+((N95)*(N96-N94))</f>
        <v>7.8894270000000002E-2</v>
      </c>
    </row>
    <row r="98" spans="1:14" ht="19" x14ac:dyDescent="0.25">
      <c r="A98" s="5" t="s">
        <v>83</v>
      </c>
      <c r="B98" s="1">
        <v>-84800000</v>
      </c>
      <c r="C98" s="1">
        <v>-509000000</v>
      </c>
      <c r="D98" s="1">
        <v>-85000000</v>
      </c>
      <c r="E98" s="1">
        <v>-107000000</v>
      </c>
      <c r="F98" s="1">
        <v>-85000000</v>
      </c>
      <c r="M98" s="62" t="s">
        <v>139</v>
      </c>
      <c r="N98" s="63"/>
    </row>
    <row r="99" spans="1:14" ht="20" x14ac:dyDescent="0.25">
      <c r="A99" s="5" t="s">
        <v>84</v>
      </c>
      <c r="B99" s="1">
        <v>36700000</v>
      </c>
      <c r="C99" s="1">
        <v>66000000</v>
      </c>
      <c r="D99" s="1">
        <v>-59000000</v>
      </c>
      <c r="E99" s="1">
        <v>155000000</v>
      </c>
      <c r="F99" s="1">
        <v>222000000</v>
      </c>
      <c r="M99" s="24" t="s">
        <v>140</v>
      </c>
      <c r="N99" s="25">
        <f>N86+N87</f>
        <v>1544000000</v>
      </c>
    </row>
    <row r="100" spans="1:14" ht="20" x14ac:dyDescent="0.25">
      <c r="A100" s="6" t="s">
        <v>85</v>
      </c>
      <c r="B100" s="10">
        <v>-48600000</v>
      </c>
      <c r="C100" s="10">
        <v>-496000000</v>
      </c>
      <c r="D100" s="10">
        <v>-247000000</v>
      </c>
      <c r="E100" s="10">
        <v>-41000000</v>
      </c>
      <c r="F100" s="10">
        <v>-90000000</v>
      </c>
      <c r="M100" s="34" t="s">
        <v>141</v>
      </c>
      <c r="N100" s="35">
        <f>N99/N103</f>
        <v>2.6000569649578965E-2</v>
      </c>
    </row>
    <row r="101" spans="1:14" ht="20" x14ac:dyDescent="0.25">
      <c r="A101" s="5" t="s">
        <v>86</v>
      </c>
      <c r="B101" s="1">
        <v>-5800000</v>
      </c>
      <c r="C101" s="1">
        <v>1000000</v>
      </c>
      <c r="D101" s="1">
        <v>15000000</v>
      </c>
      <c r="E101" s="1">
        <v>-16000000</v>
      </c>
      <c r="F101" s="1">
        <v>-79000000</v>
      </c>
      <c r="M101" s="24" t="s">
        <v>142</v>
      </c>
      <c r="N101" s="40" cm="1">
        <f t="array" ref="N101">_FV(A1,"Market cap",TRUE)</f>
        <v>57839314320</v>
      </c>
    </row>
    <row r="102" spans="1:14" ht="20" x14ac:dyDescent="0.25">
      <c r="A102" s="6" t="s">
        <v>87</v>
      </c>
      <c r="B102" s="10">
        <v>99600000</v>
      </c>
      <c r="C102" s="10">
        <v>-273000000</v>
      </c>
      <c r="D102" s="10">
        <v>442000000</v>
      </c>
      <c r="E102" s="10">
        <v>5000000</v>
      </c>
      <c r="F102" s="10">
        <v>48000000</v>
      </c>
      <c r="M102" s="34" t="s">
        <v>143</v>
      </c>
      <c r="N102" s="35">
        <f>N101/N103</f>
        <v>0.97399943035042102</v>
      </c>
    </row>
    <row r="103" spans="1:14" ht="20" x14ac:dyDescent="0.25">
      <c r="A103" s="5" t="s">
        <v>88</v>
      </c>
      <c r="B103" s="1">
        <v>489000000</v>
      </c>
      <c r="C103" s="1">
        <v>589000000</v>
      </c>
      <c r="D103" s="1">
        <v>316000000</v>
      </c>
      <c r="E103" s="1">
        <v>758000000</v>
      </c>
      <c r="F103" s="1">
        <v>763000000</v>
      </c>
      <c r="M103" s="36" t="s">
        <v>144</v>
      </c>
      <c r="N103" s="41">
        <f>N99+N101</f>
        <v>59383314320</v>
      </c>
    </row>
    <row r="104" spans="1:14" ht="20" thickBot="1" x14ac:dyDescent="0.3">
      <c r="A104" s="7" t="s">
        <v>89</v>
      </c>
      <c r="B104" s="11">
        <v>588600000</v>
      </c>
      <c r="C104" s="11">
        <v>316000000</v>
      </c>
      <c r="D104" s="11">
        <v>758000000</v>
      </c>
      <c r="E104" s="11">
        <v>763000000</v>
      </c>
      <c r="F104" s="11">
        <v>811000000</v>
      </c>
      <c r="M104" s="62" t="s">
        <v>145</v>
      </c>
      <c r="N104" s="63"/>
    </row>
    <row r="105" spans="1:14" ht="21" thickTop="1" x14ac:dyDescent="0.25">
      <c r="A105" s="14" t="s">
        <v>107</v>
      </c>
      <c r="B105" s="1"/>
      <c r="C105" s="15">
        <f>(C106/B106)-1</f>
        <v>0.15124862572640185</v>
      </c>
      <c r="D105" s="15">
        <f>(D106/C106)-1</f>
        <v>0.58390177353342421</v>
      </c>
      <c r="E105" s="15">
        <f>(E106/D106)-1</f>
        <v>9.4745908699397141E-2</v>
      </c>
      <c r="F105" s="15">
        <f>(F106/E106)-1</f>
        <v>4.6420141620771016E-2</v>
      </c>
      <c r="G105" s="15"/>
      <c r="H105" s="15"/>
      <c r="I105" s="15"/>
      <c r="J105" s="15"/>
      <c r="K105" s="15"/>
      <c r="L105" s="15"/>
      <c r="M105" s="26" t="s">
        <v>108</v>
      </c>
      <c r="N105" s="27">
        <f>(N100*N92)+(N102*N97)</f>
        <v>7.7777181293856815E-2</v>
      </c>
    </row>
    <row r="106" spans="1:14" ht="19" x14ac:dyDescent="0.25">
      <c r="A106" s="5" t="s">
        <v>90</v>
      </c>
      <c r="B106" s="1">
        <v>636700000</v>
      </c>
      <c r="C106" s="1">
        <v>733000000</v>
      </c>
      <c r="D106" s="1">
        <v>1161000000</v>
      </c>
      <c r="E106" s="1">
        <v>1271000000</v>
      </c>
      <c r="F106" s="1">
        <v>1330000000</v>
      </c>
      <c r="G106" s="42">
        <f>F106*(1+$N$106)</f>
        <v>1500002317.1203866</v>
      </c>
      <c r="H106" s="42">
        <f t="shared" ref="H106:K106" si="11">G106*(1+$N$106)</f>
        <v>1691734549.8996458</v>
      </c>
      <c r="I106" s="42">
        <f t="shared" si="11"/>
        <v>1907974244.2120926</v>
      </c>
      <c r="J106" s="42">
        <f t="shared" si="11"/>
        <v>2151853975.4316974</v>
      </c>
      <c r="K106" s="42">
        <f t="shared" si="11"/>
        <v>2426906728.7610989</v>
      </c>
      <c r="L106" s="43" t="s">
        <v>146</v>
      </c>
      <c r="M106" s="44" t="s">
        <v>147</v>
      </c>
      <c r="N106" s="45">
        <f>(SUM(G4:K4)/5)</f>
        <v>0.12782129106795997</v>
      </c>
    </row>
    <row r="107" spans="1:14" ht="19" x14ac:dyDescent="0.25">
      <c r="A107" s="5"/>
      <c r="B107" s="13"/>
      <c r="C107" s="13"/>
      <c r="D107" s="13"/>
      <c r="E107" s="13"/>
      <c r="F107" s="13"/>
      <c r="G107" s="43"/>
      <c r="H107" s="43"/>
      <c r="I107" s="43"/>
      <c r="J107" s="43"/>
      <c r="K107" s="46">
        <f>K106*(1+N107)/(N108-N107)</f>
        <v>47133616005.932404</v>
      </c>
      <c r="L107" s="47" t="s">
        <v>148</v>
      </c>
      <c r="M107" s="48" t="s">
        <v>149</v>
      </c>
      <c r="N107" s="49">
        <v>2.5000000000000001E-2</v>
      </c>
    </row>
    <row r="108" spans="1:14" ht="19" x14ac:dyDescent="0.25">
      <c r="G108" s="46">
        <f t="shared" ref="G108:I108" si="12">G107+G106</f>
        <v>1500002317.1203866</v>
      </c>
      <c r="H108" s="46">
        <f t="shared" si="12"/>
        <v>1691734549.8996458</v>
      </c>
      <c r="I108" s="46">
        <f t="shared" si="12"/>
        <v>1907974244.2120926</v>
      </c>
      <c r="J108" s="46">
        <f>J107+J106</f>
        <v>2151853975.4316974</v>
      </c>
      <c r="K108" s="46">
        <f>K107+K106</f>
        <v>49560522734.693504</v>
      </c>
      <c r="L108" s="47" t="s">
        <v>144</v>
      </c>
      <c r="M108" s="50" t="s">
        <v>150</v>
      </c>
      <c r="N108" s="51">
        <f>N105</f>
        <v>7.7777181293856815E-2</v>
      </c>
    </row>
    <row r="109" spans="1:14" ht="19" x14ac:dyDescent="0.25">
      <c r="G109" s="64" t="s">
        <v>151</v>
      </c>
      <c r="H109" s="65"/>
    </row>
    <row r="110" spans="1:14" ht="20" x14ac:dyDescent="0.25">
      <c r="G110" s="52" t="s">
        <v>152</v>
      </c>
      <c r="H110" s="40">
        <f>NPV(N108,G108,H108,I108,J108,K108)</f>
        <v>40046224416.86425</v>
      </c>
    </row>
    <row r="111" spans="1:14" ht="20" x14ac:dyDescent="0.25">
      <c r="G111" s="52" t="s">
        <v>153</v>
      </c>
      <c r="H111" s="40">
        <f>F40</f>
        <v>926000000</v>
      </c>
    </row>
    <row r="112" spans="1:14" ht="20" x14ac:dyDescent="0.25">
      <c r="G112" s="52" t="s">
        <v>140</v>
      </c>
      <c r="H112" s="40">
        <f>N99</f>
        <v>1544000000</v>
      </c>
    </row>
    <row r="113" spans="7:8" ht="20" x14ac:dyDescent="0.25">
      <c r="G113" s="52" t="s">
        <v>154</v>
      </c>
      <c r="H113" s="40">
        <f>H110+H111-H112</f>
        <v>39428224416.86425</v>
      </c>
    </row>
    <row r="114" spans="7:8" ht="20" x14ac:dyDescent="0.25">
      <c r="G114" s="52" t="s">
        <v>159</v>
      </c>
      <c r="H114" s="53">
        <f>F34*(1+(5*L16))</f>
        <v>23433152.449173201</v>
      </c>
    </row>
    <row r="115" spans="7:8" ht="20" x14ac:dyDescent="0.25">
      <c r="G115" s="54" t="s">
        <v>155</v>
      </c>
      <c r="H115" s="55">
        <f>H113/H114</f>
        <v>1682.5830200347375</v>
      </c>
    </row>
    <row r="116" spans="7:8" ht="20" x14ac:dyDescent="0.25">
      <c r="G116" s="52" t="s">
        <v>156</v>
      </c>
      <c r="H116" s="56" cm="1">
        <f t="array" ref="H116">_FV(A1,"Price")</f>
        <v>2729.36</v>
      </c>
    </row>
    <row r="117" spans="7:8" ht="20" x14ac:dyDescent="0.25">
      <c r="G117" s="57" t="s">
        <v>157</v>
      </c>
      <c r="H117" s="58">
        <f>H115/H116-1</f>
        <v>-0.38352470174885778</v>
      </c>
    </row>
    <row r="118" spans="7:8" ht="20" x14ac:dyDescent="0.25">
      <c r="G118" s="57" t="s">
        <v>158</v>
      </c>
      <c r="H118" s="59"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2023-03-13T23:50:29Z</dcterms:created>
  <dcterms:modified xsi:type="dcterms:W3CDTF">2023-05-19T23:31:26Z</dcterms:modified>
</cp:coreProperties>
</file>