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BC80F0D-2EA4-7E4A-ABCF-69E75A4D5BA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I114" i="1" a="1"/>
  <c r="I114" i="1" s="1"/>
  <c r="M16" i="1"/>
  <c r="O101" i="1" a="1"/>
  <c r="O101" i="1" s="1"/>
  <c r="O95" i="1" a="1"/>
  <c r="O95" i="1" s="1"/>
  <c r="O97" i="1" s="1"/>
  <c r="F105" i="1"/>
  <c r="G105" i="1"/>
  <c r="P4" i="1" s="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O106" i="1" l="1"/>
  <c r="H106" i="1" s="1"/>
  <c r="O92" i="1"/>
  <c r="O16" i="1"/>
  <c r="P16" i="1"/>
  <c r="N16" i="1"/>
  <c r="O103" i="1"/>
  <c r="O102" i="1" s="1"/>
  <c r="I112" i="1"/>
  <c r="H108" i="1" l="1"/>
  <c r="I106" i="1"/>
  <c r="J106" i="1" s="1"/>
  <c r="K106" i="1" s="1"/>
  <c r="L106" i="1" s="1"/>
  <c r="O100" i="1"/>
  <c r="O105" i="1" s="1"/>
  <c r="O108" i="1" s="1"/>
  <c r="I108" i="1" l="1"/>
  <c r="J108" i="1"/>
  <c r="L107" i="1" l="1"/>
  <c r="L108" i="1" s="1"/>
  <c r="K108" i="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<sst xmlns="http://schemas.openxmlformats.org/spreadsheetml/2006/main" count="292" uniqueCount="160">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</sst>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DDOG</a:t>
            </a:r>
            <a:endParaRPr lang="en-US"/>
          </a:p>
        </c:rich>
      </c:tx>
      <c:layout>
        <c:manualLayout>
          <c:xMode val="edge"/>
          <c:yMode val="edge"/>
          <c:x val="0.45921779579532757"/>
          <c:y val="2.70498756042958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1615667415744696"/>
          <c:w val="0.87811221122112193"/>
          <c:h val="0.742123986761180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17462</xdr:rowOff>
    </xdr:from>
    <xdr:to>
      <xdr:col>15</xdr:col>
      <xdr:colOff>15875</xdr:colOff>
      <xdr:row>133</xdr:row>
      <xdr:rowOff>31749</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0.95520000000000005</v>
    <v>-2.4500000000000002</v>
    <v>-2.5915000000000001E-2</v>
    <v>-0.45</v>
    <v>-4.8869999999999999E-3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94.37</v>
    <v>Software &amp; IT Services</v>
    <v>Stock</v>
    <v>45065.95392172422</v>
    <v>0</v>
    <v>91</v>
    <v>29641477959</v>
    <v>DATADOG, INC.</v>
    <v>DATADOG, INC.</v>
    <v>93.68</v>
    <v>94.54</v>
    <v>92.09</v>
    <v>91.64</v>
    <v>321875100</v>
    <v>DDOG</v>
    <v>DATADOG, INC. (XNAS:DDOG)</v>
    <v>5644308</v>
    <v>5946303</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B82" activePane="bottomRight" state="frozen"/>
      <selection pane="topRight"/>
      <selection pane="bottomLeft"/>
      <selection pane="bottomRight" activeCell="I92" sqref="I92"/>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100761000</v>
      </c>
      <c r="C3" s="1">
        <v>198077000</v>
      </c>
      <c r="D3" s="1">
        <v>362780000</v>
      </c>
      <c r="E3" s="1">
        <v>603466000</v>
      </c>
      <c r="F3" s="1">
        <v>1028784000</v>
      </c>
      <c r="G3" s="1">
        <v>1675100000</v>
      </c>
      <c r="H3" s="29">
        <v>2090000000</v>
      </c>
      <c r="I3" s="29">
        <v>2673000000</v>
      </c>
      <c r="J3" s="29">
        <v>3574000000</v>
      </c>
      <c r="K3" s="29">
        <v>4649000000</v>
      </c>
      <c r="L3" s="29">
        <v>5749000000</v>
      </c>
      <c r="M3" s="19" t="s">
        <v>109</v>
      </c>
      <c r="N3" s="20" t="s">
        <v>110</v>
      </c>
      <c r="O3" s="20" t="s">
        <v>111</v>
      </c>
      <c r="P3" s="20" t="s">
        <v>112</v>
      </c>
    </row>
    <row r="4" spans="1:38" ht="19" x14ac:dyDescent="0.25">
      <c r="A4" s="14" t="s">
        <v>94</v>
      </c>
      <c r="B4" s="1"/>
      <c r="C4" s="15">
        <f>(C3/B3)-1</f>
        <v>0.96581018449598566</v>
      </c>
      <c r="D4" s="15">
        <f>(D3/C3)-1</f>
        <v>0.83150996834564328</v>
      </c>
      <c r="E4" s="15">
        <f>(E3/D3)-1</f>
        <v>0.66344892221180873</v>
      </c>
      <c r="F4" s="16">
        <f t="shared" ref="F4:L4" si="0">(F3/E3)-1</f>
        <v>0.70479198496684159</v>
      </c>
      <c r="G4" s="16">
        <f t="shared" si="0"/>
        <v>0.62823294296956411</v>
      </c>
      <c r="H4" s="16">
        <f t="shared" si="0"/>
        <v>0.24768670527132719</v>
      </c>
      <c r="I4" s="16">
        <f t="shared" si="0"/>
        <v>0.27894736842105261</v>
      </c>
      <c r="J4" s="16">
        <f t="shared" si="0"/>
        <v>0.33707444818555921</v>
      </c>
      <c r="K4" s="16">
        <f t="shared" si="0"/>
        <v>0.30078343592613321</v>
      </c>
      <c r="L4" s="16">
        <f t="shared" si="0"/>
        <v>0.23661002366100226</v>
      </c>
      <c r="M4" s="17">
        <f>(G4+F4+E4)/3</f>
        <v>0.66549128338273811</v>
      </c>
      <c r="N4" s="17">
        <f>(G20+F20+E20)/3</f>
        <v>-2.700310673525955</v>
      </c>
      <c r="O4" s="17">
        <f>(G29+F29+E29)/3</f>
        <v>0.57734869535946298</v>
      </c>
      <c r="P4" s="17">
        <f>(G105+F105+E105)/3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113</v>
      </c>
      <c r="N6" s="20" t="s">
        <v>114</v>
      </c>
      <c r="O6" s="20" t="s">
        <v>115</v>
      </c>
      <c r="P6" s="20" t="s">
        <v>116</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G106/G3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95</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96</v>
      </c>
      <c r="N9" s="20" t="s">
        <v>97</v>
      </c>
      <c r="O9" s="20" t="s">
        <v>98</v>
      </c>
      <c r="P9" s="20" t="s">
        <v>99</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117</v>
      </c>
      <c r="N12" s="20" t="s">
        <v>118</v>
      </c>
      <c r="O12" s="20" t="s">
        <v>119</v>
      </c>
      <c r="P12" s="20" t="s">
        <v>120</v>
      </c>
    </row>
    <row r="13" spans="1:38" ht="19" x14ac:dyDescent="0.25">
      <c r="A13" s="14" t="s">
        <v>100</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92</v>
      </c>
      <c r="C14" s="1" t="s">
        <v>92</v>
      </c>
      <c r="D14" s="1" t="s">
        <v>92</v>
      </c>
      <c r="E14" s="1" t="s">
        <v>92</v>
      </c>
      <c r="F14" s="1" t="s">
        <v>92</v>
      </c>
      <c r="G14" s="1" t="s">
        <v>92</v>
      </c>
    </row>
    <row r="15" spans="1:38" ht="20" x14ac:dyDescent="0.25">
      <c r="A15" s="5" t="s">
        <v>10</v>
      </c>
      <c r="B15" s="1">
        <v>80303000</v>
      </c>
      <c r="C15" s="1">
        <v>162581000</v>
      </c>
      <c r="D15" s="1">
        <v>293971000</v>
      </c>
      <c r="E15" s="1">
        <v>487042000</v>
      </c>
      <c r="F15" s="1">
        <v>813695000</v>
      </c>
      <c r="G15" s="1">
        <v>1387052000</v>
      </c>
      <c r="M15" s="19" t="s">
        <v>158</v>
      </c>
      <c r="N15" s="20" t="s">
        <v>121</v>
      </c>
      <c r="O15" s="20" t="s">
        <v>122</v>
      </c>
      <c r="P15" s="20" t="s">
        <v>123</v>
      </c>
    </row>
    <row r="16" spans="1:38" ht="19" x14ac:dyDescent="0.25">
      <c r="A16" s="5" t="s">
        <v>11</v>
      </c>
      <c r="B16" s="1">
        <v>103717000</v>
      </c>
      <c r="C16" s="1">
        <v>209110000</v>
      </c>
      <c r="D16" s="1">
        <v>382920000</v>
      </c>
      <c r="E16" s="1">
        <v>617239000</v>
      </c>
      <c r="F16" s="1">
        <v>1047940000</v>
      </c>
      <c r="G16" s="1">
        <v>1733795000</v>
      </c>
      <c r="M16" s="30">
        <f>(G35+F35+E35+D35+C35)/5</f>
        <v>0.57794247798510179</v>
      </c>
      <c r="N16" s="31">
        <f>O101/G3</f>
        <v>17.695348312936542</v>
      </c>
      <c r="O16" s="31">
        <f>O101/G28</f>
        <v>-590.93855580143543</v>
      </c>
      <c r="P16" s="32">
        <f>O101/G106</f>
        <v>83.847153352870293</v>
      </c>
    </row>
    <row r="17" spans="1:13" ht="19" x14ac:dyDescent="0.25">
      <c r="A17" s="5" t="s">
        <v>12</v>
      </c>
      <c r="B17" s="1" t="s">
        <v>92</v>
      </c>
      <c r="C17" s="1" t="s">
        <v>92</v>
      </c>
      <c r="D17" s="1" t="s">
        <v>92</v>
      </c>
      <c r="E17" s="1">
        <v>30434000</v>
      </c>
      <c r="F17" s="1">
        <v>21052000</v>
      </c>
      <c r="G17" s="1">
        <v>13166000</v>
      </c>
    </row>
    <row r="18" spans="1:13" ht="20" x14ac:dyDescent="0.25">
      <c r="A18" s="5" t="s">
        <v>13</v>
      </c>
      <c r="B18" s="1">
        <v>2704000</v>
      </c>
      <c r="C18" s="1">
        <v>6026000</v>
      </c>
      <c r="D18" s="1">
        <v>12370000</v>
      </c>
      <c r="E18" s="1">
        <v>15450000</v>
      </c>
      <c r="F18" s="1">
        <v>22938000</v>
      </c>
      <c r="G18" s="1">
        <v>34629000</v>
      </c>
      <c r="M18" s="19" t="s">
        <v>124</v>
      </c>
    </row>
    <row r="19" spans="1:13" ht="19" x14ac:dyDescent="0.25">
      <c r="A19" s="6" t="s">
        <v>14</v>
      </c>
      <c r="B19" s="10">
        <v>591000</v>
      </c>
      <c r="C19" s="10">
        <v>-4214000</v>
      </c>
      <c r="D19" s="10">
        <v>-3606000</v>
      </c>
      <c r="E19" s="10">
        <v>23662000</v>
      </c>
      <c r="F19" s="10">
        <v>25568000</v>
      </c>
      <c r="G19" s="10">
        <v>9725000</v>
      </c>
      <c r="M19" s="33">
        <f>G40-G56-G61</f>
        <v>1046805000</v>
      </c>
    </row>
    <row r="20" spans="1:13" ht="19" customHeight="1" x14ac:dyDescent="0.25">
      <c r="A20" s="14" t="s">
        <v>101</v>
      </c>
      <c r="B20" s="1"/>
      <c r="C20" s="15">
        <f>(C19/B19)-1</f>
        <v>-8.1302876480541464</v>
      </c>
      <c r="D20" s="15">
        <f>(D19/C19)-1</f>
        <v>-0.14428096820123393</v>
      </c>
      <c r="E20" s="15">
        <f>(E19/D19)-1</f>
        <v>-7.5618413754853027</v>
      </c>
      <c r="F20" s="15">
        <f t="shared" ref="F20:G20" si="3">(F19/E19)-1</f>
        <v>8.0551094582030247E-2</v>
      </c>
      <c r="G20" s="15">
        <f t="shared" si="3"/>
        <v>-0.61964173967459324</v>
      </c>
    </row>
    <row r="21" spans="1:13" ht="19" x14ac:dyDescent="0.25">
      <c r="A21" s="5" t="s">
        <v>15</v>
      </c>
      <c r="B21" s="2">
        <v>5.8999999999999999E-3</v>
      </c>
      <c r="C21" s="2">
        <v>-2.1299999999999999E-2</v>
      </c>
      <c r="D21" s="2">
        <v>-9.9000000000000008E-3</v>
      </c>
      <c r="E21" s="2">
        <v>3.9199999999999999E-2</v>
      </c>
      <c r="F21" s="2">
        <v>2.4899999999999999E-2</v>
      </c>
      <c r="G21" s="2">
        <v>5.7999999999999996E-3</v>
      </c>
    </row>
    <row r="22" spans="1:13" ht="19" x14ac:dyDescent="0.25">
      <c r="A22" s="6" t="s">
        <v>16</v>
      </c>
      <c r="B22" s="10">
        <v>-2956000</v>
      </c>
      <c r="C22" s="10">
        <v>-11033000</v>
      </c>
      <c r="D22" s="10">
        <v>-20140000</v>
      </c>
      <c r="E22" s="10">
        <v>-13773000</v>
      </c>
      <c r="F22" s="10">
        <v>-19156000</v>
      </c>
      <c r="G22" s="10">
        <v>-58695000</v>
      </c>
    </row>
    <row r="23" spans="1:13" ht="19" x14ac:dyDescent="0.25">
      <c r="A23" s="5" t="s">
        <v>17</v>
      </c>
      <c r="B23" s="2">
        <v>-2.93E-2</v>
      </c>
      <c r="C23" s="2">
        <v>-5.57E-2</v>
      </c>
      <c r="D23" s="2">
        <v>-5.5500000000000001E-2</v>
      </c>
      <c r="E23" s="2">
        <v>-2.2800000000000001E-2</v>
      </c>
      <c r="F23" s="2">
        <v>-1.8599999999999998E-2</v>
      </c>
      <c r="G23" s="2">
        <v>-3.5000000000000003E-2</v>
      </c>
    </row>
    <row r="24" spans="1:13" ht="19" x14ac:dyDescent="0.25">
      <c r="A24" s="5" t="s">
        <v>18</v>
      </c>
      <c r="B24" s="1">
        <v>843000</v>
      </c>
      <c r="C24" s="1">
        <v>793000</v>
      </c>
      <c r="D24" s="1">
        <v>4164000</v>
      </c>
      <c r="E24" s="1">
        <v>-8449000</v>
      </c>
      <c r="F24" s="1">
        <v>734000</v>
      </c>
      <c r="G24" s="1">
        <v>20625000</v>
      </c>
    </row>
    <row r="25" spans="1:13" ht="19" x14ac:dyDescent="0.25">
      <c r="A25" s="6" t="s">
        <v>19</v>
      </c>
      <c r="B25" s="10">
        <v>-2113000</v>
      </c>
      <c r="C25" s="10">
        <v>-10240000</v>
      </c>
      <c r="D25" s="10">
        <v>-15976000</v>
      </c>
      <c r="E25" s="10">
        <v>-22222000</v>
      </c>
      <c r="F25" s="10">
        <v>-18422000</v>
      </c>
      <c r="G25" s="10">
        <v>-38070000</v>
      </c>
    </row>
    <row r="26" spans="1:13" ht="19" x14ac:dyDescent="0.25">
      <c r="A26" s="5" t="s">
        <v>20</v>
      </c>
      <c r="B26" s="2">
        <v>-2.1000000000000001E-2</v>
      </c>
      <c r="C26" s="2">
        <v>-5.1700000000000003E-2</v>
      </c>
      <c r="D26" s="2">
        <v>-4.3999999999999997E-2</v>
      </c>
      <c r="E26" s="2">
        <v>-3.6799999999999999E-2</v>
      </c>
      <c r="F26" s="2">
        <v>-1.7899999999999999E-2</v>
      </c>
      <c r="G26" s="2">
        <v>-2.2700000000000001E-2</v>
      </c>
    </row>
    <row r="27" spans="1:13" ht="19" x14ac:dyDescent="0.25">
      <c r="A27" s="5" t="s">
        <v>21</v>
      </c>
      <c r="B27" s="1">
        <v>457000</v>
      </c>
      <c r="C27" s="1">
        <v>522000</v>
      </c>
      <c r="D27" s="1">
        <v>734000</v>
      </c>
      <c r="E27" s="1">
        <v>2325000</v>
      </c>
      <c r="F27" s="1">
        <v>2323000</v>
      </c>
      <c r="G27" s="1">
        <v>12090000</v>
      </c>
    </row>
    <row r="28" spans="1:13" ht="20" thickBot="1" x14ac:dyDescent="0.3">
      <c r="A28" s="7" t="s">
        <v>22</v>
      </c>
      <c r="B28" s="11">
        <v>-2570000</v>
      </c>
      <c r="C28" s="11">
        <v>-10762000</v>
      </c>
      <c r="D28" s="11">
        <v>-16710000</v>
      </c>
      <c r="E28" s="11">
        <v>-24547000</v>
      </c>
      <c r="F28" s="11">
        <v>-20745000</v>
      </c>
      <c r="G28" s="11">
        <v>-50160000</v>
      </c>
    </row>
    <row r="29" spans="1:13" ht="20" customHeight="1" thickTop="1" x14ac:dyDescent="0.25">
      <c r="A29" s="14" t="s">
        <v>102</v>
      </c>
      <c r="B29" s="1"/>
      <c r="C29" s="15">
        <f>(C28/B28)-1</f>
        <v>3.1875486381322959</v>
      </c>
      <c r="D29" s="15">
        <f>(D28/C28)-1</f>
        <v>0.55268537446571275</v>
      </c>
      <c r="E29" s="15">
        <f>(E28/D28)-1</f>
        <v>0.46900059844404551</v>
      </c>
      <c r="F29" s="15">
        <f t="shared" ref="F29:G29" si="4">(F28/E28)-1</f>
        <v>-0.15488654418055159</v>
      </c>
      <c r="G29" s="15">
        <f t="shared" si="4"/>
        <v>1.4179320318148951</v>
      </c>
    </row>
    <row r="30" spans="1:13" ht="19" x14ac:dyDescent="0.25">
      <c r="A30" s="5" t="s">
        <v>23</v>
      </c>
      <c r="B30" s="2">
        <v>-2.5499999999999998E-2</v>
      </c>
      <c r="C30" s="2">
        <v>-5.4300000000000001E-2</v>
      </c>
      <c r="D30" s="2">
        <v>-4.6100000000000002E-2</v>
      </c>
      <c r="E30" s="2">
        <v>-4.07E-2</v>
      </c>
      <c r="F30" s="2">
        <v>-2.0199999999999999E-2</v>
      </c>
      <c r="G30" s="2">
        <v>-2.9899999999999999E-2</v>
      </c>
    </row>
    <row r="31" spans="1:13" ht="19" x14ac:dyDescent="0.25">
      <c r="A31" s="5" t="s">
        <v>24</v>
      </c>
      <c r="B31" s="12">
        <v>-0.03</v>
      </c>
      <c r="C31" s="12">
        <v>-0.04</v>
      </c>
      <c r="D31" s="12">
        <v>-0.12</v>
      </c>
      <c r="E31" s="12">
        <v>-0.08</v>
      </c>
      <c r="F31" s="12">
        <v>-7.0000000000000007E-2</v>
      </c>
      <c r="G31" s="12">
        <v>-0.16</v>
      </c>
    </row>
    <row r="32" spans="1:13"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103</v>
      </c>
      <c r="B35" s="1"/>
      <c r="C35" s="23">
        <f>(C34-B34)/B34</f>
        <v>2.1516728250760373</v>
      </c>
      <c r="D35" s="23">
        <f t="shared" ref="D35:E35" si="5">(D34-C34)/C34</f>
        <v>-0.44221704696808978</v>
      </c>
      <c r="E35" s="23">
        <f t="shared" si="5"/>
        <v>1.1473050553001651</v>
      </c>
      <c r="F35" s="23">
        <f t="shared" ref="F35" si="6">(F34-E34)/E34</f>
        <v>3.2951556517396369E-2</v>
      </c>
      <c r="G35" s="23">
        <f t="shared" ref="G35" si="7">(G34-F34)/F34</f>
        <v>0</v>
      </c>
    </row>
    <row r="36" spans="1:7" ht="19" x14ac:dyDescent="0.25">
      <c r="A36" s="5" t="s">
        <v>28</v>
      </c>
      <c r="B36" s="13" t="s">
        <v>93</v>
      </c>
      <c r="C36" s="13" t="s">
        <v>93</v>
      </c>
      <c r="D36" s="13" t="s">
        <v>93</v>
      </c>
      <c r="E36" s="13" t="s">
        <v>93</v>
      </c>
      <c r="F36" s="13" t="s">
        <v>93</v>
      </c>
      <c r="G36" s="13" t="s">
        <v>93</v>
      </c>
    </row>
    <row r="37" spans="1:7" ht="21" x14ac:dyDescent="0.25">
      <c r="A37" s="4" t="s">
        <v>29</v>
      </c>
      <c r="B37" s="9" t="s">
        <v>91</v>
      </c>
      <c r="C37" s="9" t="s">
        <v>91</v>
      </c>
      <c r="D37" s="9" t="s">
        <v>91</v>
      </c>
      <c r="E37" s="9" t="s">
        <v>91</v>
      </c>
      <c r="F37" s="9" t="s">
        <v>91</v>
      </c>
      <c r="G37" s="9" t="s">
        <v>91</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92</v>
      </c>
      <c r="C39" s="1" t="s">
        <v>92</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92</v>
      </c>
      <c r="C42" s="1" t="s">
        <v>92</v>
      </c>
      <c r="D42" s="1" t="s">
        <v>92</v>
      </c>
      <c r="E42" s="1" t="s">
        <v>92</v>
      </c>
      <c r="F42" s="1" t="s">
        <v>92</v>
      </c>
      <c r="G42" s="1" t="s">
        <v>92</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92</v>
      </c>
      <c r="C49" s="1" t="s">
        <v>92</v>
      </c>
      <c r="D49" s="1" t="s">
        <v>92</v>
      </c>
      <c r="E49" s="1">
        <v>1292532000</v>
      </c>
      <c r="F49" s="1" t="s">
        <v>92</v>
      </c>
      <c r="G49" s="1" t="s">
        <v>92</v>
      </c>
    </row>
    <row r="50" spans="1:7" ht="19" x14ac:dyDescent="0.25">
      <c r="A50" s="5" t="s">
        <v>42</v>
      </c>
      <c r="B50" s="1" t="s">
        <v>92</v>
      </c>
      <c r="C50" s="1" t="s">
        <v>92</v>
      </c>
      <c r="D50" s="1" t="s">
        <v>92</v>
      </c>
      <c r="E50" s="1" t="s">
        <v>92</v>
      </c>
      <c r="F50" s="1" t="s">
        <v>92</v>
      </c>
      <c r="G50" s="1" t="s">
        <v>92</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92</v>
      </c>
      <c r="C53" s="1" t="s">
        <v>92</v>
      </c>
      <c r="D53" s="1" t="s">
        <v>92</v>
      </c>
      <c r="E53" s="1" t="s">
        <v>92</v>
      </c>
      <c r="F53" s="1" t="s">
        <v>92</v>
      </c>
      <c r="G53" s="1" t="s">
        <v>92</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92</v>
      </c>
      <c r="C56" s="1" t="s">
        <v>92</v>
      </c>
      <c r="D56" s="1">
        <v>11916000</v>
      </c>
      <c r="E56" s="1">
        <v>16326000</v>
      </c>
      <c r="F56" s="1">
        <v>20157000</v>
      </c>
      <c r="G56" s="1">
        <v>22092000</v>
      </c>
    </row>
    <row r="57" spans="1:7" ht="19" x14ac:dyDescent="0.25">
      <c r="A57" s="5" t="s">
        <v>49</v>
      </c>
      <c r="B57" s="1">
        <v>487000</v>
      </c>
      <c r="C57" s="1">
        <v>1663000</v>
      </c>
      <c r="D57" s="1">
        <v>2368000</v>
      </c>
      <c r="E57" s="1">
        <v>12558000</v>
      </c>
      <c r="F57" s="1" t="s">
        <v>92</v>
      </c>
      <c r="G57" s="1" t="s">
        <v>92</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92</v>
      </c>
      <c r="C61" s="1" t="s">
        <v>92</v>
      </c>
      <c r="D61" s="1" t="s">
        <v>92</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92</v>
      </c>
      <c r="C63" s="1" t="s">
        <v>92</v>
      </c>
      <c r="D63" s="1" t="s">
        <v>92</v>
      </c>
      <c r="E63" s="1" t="s">
        <v>92</v>
      </c>
      <c r="F63" s="1" t="s">
        <v>92</v>
      </c>
      <c r="G63" s="1" t="s">
        <v>92</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92</v>
      </c>
      <c r="C66" s="1" t="s">
        <v>92</v>
      </c>
      <c r="D66" s="1" t="s">
        <v>92</v>
      </c>
      <c r="E66" s="1" t="s">
        <v>92</v>
      </c>
      <c r="F66" s="1" t="s">
        <v>92</v>
      </c>
      <c r="G66" s="1" t="s">
        <v>92</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92</v>
      </c>
      <c r="C68" s="1" t="s">
        <v>92</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92</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93</v>
      </c>
      <c r="C74" s="13" t="s">
        <v>93</v>
      </c>
      <c r="D74" s="13" t="s">
        <v>93</v>
      </c>
      <c r="E74" s="13" t="s">
        <v>93</v>
      </c>
      <c r="F74" s="13" t="s">
        <v>93</v>
      </c>
      <c r="G74" s="13" t="s">
        <v>93</v>
      </c>
    </row>
    <row r="75" spans="1:7" ht="21" x14ac:dyDescent="0.25">
      <c r="A75" s="4" t="s">
        <v>65</v>
      </c>
      <c r="B75" s="9" t="s">
        <v>91</v>
      </c>
      <c r="C75" s="9" t="s">
        <v>91</v>
      </c>
      <c r="D75" s="9" t="s">
        <v>91</v>
      </c>
      <c r="E75" s="9" t="s">
        <v>91</v>
      </c>
      <c r="F75" s="9" t="s">
        <v>91</v>
      </c>
      <c r="G75" s="9" t="s">
        <v>91</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92</v>
      </c>
      <c r="C78" s="1" t="s">
        <v>92</v>
      </c>
      <c r="D78" s="1" t="s">
        <v>92</v>
      </c>
      <c r="E78" s="1" t="s">
        <v>92</v>
      </c>
      <c r="F78" s="1" t="s">
        <v>92</v>
      </c>
      <c r="G78" s="1" t="s">
        <v>92</v>
      </c>
    </row>
    <row r="79" spans="1:7" ht="19" x14ac:dyDescent="0.25">
      <c r="A79" s="5" t="s">
        <v>68</v>
      </c>
      <c r="B79" s="1">
        <v>3068000</v>
      </c>
      <c r="C79" s="1">
        <v>5244000</v>
      </c>
      <c r="D79" s="1">
        <v>19034000</v>
      </c>
      <c r="E79" s="1">
        <v>74374000</v>
      </c>
      <c r="F79" s="1">
        <v>163737000</v>
      </c>
      <c r="G79" s="1">
        <v>363154000</v>
      </c>
    </row>
    <row r="80" spans="1:7" ht="19" x14ac:dyDescent="0.25">
      <c r="A80" s="14" t="s">
        <v>104</v>
      </c>
      <c r="B80" s="15">
        <f t="shared" ref="B80:G80" si="8">B79/B3</f>
        <v>3.0448288524329851E-2</v>
      </c>
      <c r="C80" s="15">
        <f t="shared" si="8"/>
        <v>2.6474552825416379E-2</v>
      </c>
      <c r="D80" s="15">
        <f t="shared" si="8"/>
        <v>5.2467059926126026E-2</v>
      </c>
      <c r="E80" s="15">
        <f t="shared" si="8"/>
        <v>0.12324472298356494</v>
      </c>
      <c r="F80" s="15">
        <f t="shared" si="8"/>
        <v>0.1591558577893902</v>
      </c>
      <c r="G80" s="15">
        <f t="shared" si="8"/>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92</v>
      </c>
      <c r="C83" s="1" t="s">
        <v>92</v>
      </c>
      <c r="D83" s="1" t="s">
        <v>92</v>
      </c>
      <c r="E83" s="1" t="s">
        <v>92</v>
      </c>
      <c r="F83" s="1" t="s">
        <v>92</v>
      </c>
      <c r="G83" s="1" t="s">
        <v>92</v>
      </c>
      <c r="N83" s="62" t="s">
        <v>125</v>
      </c>
      <c r="O83" s="63"/>
    </row>
    <row r="84" spans="1:15" ht="19" x14ac:dyDescent="0.25">
      <c r="A84" s="5" t="s">
        <v>47</v>
      </c>
      <c r="B84" s="1">
        <v>4647000</v>
      </c>
      <c r="C84" s="1">
        <v>7241000</v>
      </c>
      <c r="D84" s="1">
        <v>2484000</v>
      </c>
      <c r="E84" s="1">
        <v>6539000</v>
      </c>
      <c r="F84" s="1">
        <v>3078000</v>
      </c>
      <c r="G84" s="1">
        <v>-1286000</v>
      </c>
      <c r="N84" s="64" t="s">
        <v>126</v>
      </c>
      <c r="O84" s="65"/>
    </row>
    <row r="85" spans="1:15" ht="20" x14ac:dyDescent="0.25">
      <c r="A85" s="5" t="s">
        <v>71</v>
      </c>
      <c r="B85" s="1">
        <v>26473000</v>
      </c>
      <c r="C85" s="1">
        <v>22674000</v>
      </c>
      <c r="D85" s="1">
        <v>47644000</v>
      </c>
      <c r="E85" s="1">
        <v>44708000</v>
      </c>
      <c r="F85" s="1">
        <v>133506000</v>
      </c>
      <c r="G85" s="1">
        <v>117546000</v>
      </c>
      <c r="N85" s="24" t="s">
        <v>127</v>
      </c>
      <c r="O85" s="25">
        <f>G17</f>
        <v>13166000</v>
      </c>
    </row>
    <row r="86" spans="1:15" ht="20" x14ac:dyDescent="0.25">
      <c r="A86" s="5" t="s">
        <v>72</v>
      </c>
      <c r="B86" s="1">
        <v>1656000</v>
      </c>
      <c r="C86" s="1">
        <v>3157000</v>
      </c>
      <c r="D86" s="1">
        <v>19078000</v>
      </c>
      <c r="E86" s="1">
        <v>56280000</v>
      </c>
      <c r="F86" s="1">
        <v>57237000</v>
      </c>
      <c r="G86" s="1">
        <v>64391000</v>
      </c>
      <c r="N86" s="24" t="s">
        <v>128</v>
      </c>
      <c r="O86" s="25">
        <f>G56</f>
        <v>22092000</v>
      </c>
    </row>
    <row r="87" spans="1:15" ht="20" x14ac:dyDescent="0.25">
      <c r="A87" s="6" t="s">
        <v>73</v>
      </c>
      <c r="B87" s="10">
        <v>13832000</v>
      </c>
      <c r="C87" s="10">
        <v>10829000</v>
      </c>
      <c r="D87" s="10">
        <v>24234000</v>
      </c>
      <c r="E87" s="10">
        <v>109091000</v>
      </c>
      <c r="F87" s="10">
        <v>286545000</v>
      </c>
      <c r="G87" s="10">
        <v>418407000</v>
      </c>
      <c r="N87" s="24" t="s">
        <v>129</v>
      </c>
      <c r="O87" s="25">
        <f>G61</f>
        <v>815429000</v>
      </c>
    </row>
    <row r="88" spans="1:15" ht="20" x14ac:dyDescent="0.25">
      <c r="A88" s="5" t="s">
        <v>74</v>
      </c>
      <c r="B88" s="1">
        <v>-2351000</v>
      </c>
      <c r="C88" s="1">
        <v>-9662000</v>
      </c>
      <c r="D88" s="1">
        <v>-13315000</v>
      </c>
      <c r="E88" s="1">
        <v>-5415000</v>
      </c>
      <c r="F88" s="1">
        <v>-9956000</v>
      </c>
      <c r="G88" s="1">
        <v>-35261000</v>
      </c>
      <c r="N88" s="34" t="s">
        <v>130</v>
      </c>
      <c r="O88" s="35">
        <f>O85/(O86+O87)</f>
        <v>1.5720202836704989E-2</v>
      </c>
    </row>
    <row r="89" spans="1:15" ht="20" customHeight="1" x14ac:dyDescent="0.25">
      <c r="A89" s="14" t="s">
        <v>105</v>
      </c>
      <c r="B89" s="15">
        <f t="shared" ref="B89:G89" si="9">(-1*B88)/B3</f>
        <v>2.3332440130606088E-2</v>
      </c>
      <c r="C89" s="15">
        <f t="shared" si="9"/>
        <v>4.8779010182908665E-2</v>
      </c>
      <c r="D89" s="15">
        <f t="shared" si="9"/>
        <v>3.6702684822757597E-2</v>
      </c>
      <c r="E89" s="15">
        <f t="shared" si="9"/>
        <v>8.973165016753222E-3</v>
      </c>
      <c r="F89" s="15">
        <f t="shared" si="9"/>
        <v>9.6774444392603298E-3</v>
      </c>
      <c r="G89" s="15">
        <f t="shared" si="9"/>
        <v>2.1050086561996299E-2</v>
      </c>
      <c r="N89" s="24" t="s">
        <v>106</v>
      </c>
      <c r="O89" s="25">
        <f>G27</f>
        <v>12090000</v>
      </c>
    </row>
    <row r="90" spans="1:15" ht="20" x14ac:dyDescent="0.25">
      <c r="A90" s="5" t="s">
        <v>75</v>
      </c>
      <c r="B90" s="1">
        <v>-4957000</v>
      </c>
      <c r="C90" s="1">
        <v>-1618000</v>
      </c>
      <c r="D90" s="1">
        <v>-2138000</v>
      </c>
      <c r="E90" s="1">
        <v>-2363000</v>
      </c>
      <c r="F90" s="1">
        <v>-226505000</v>
      </c>
      <c r="G90" s="1">
        <v>-45878000</v>
      </c>
      <c r="N90" s="24" t="s">
        <v>19</v>
      </c>
      <c r="O90" s="25">
        <f>G25</f>
        <v>-38070000</v>
      </c>
    </row>
    <row r="91" spans="1:15" ht="20" x14ac:dyDescent="0.25">
      <c r="A91" s="5" t="s">
        <v>76</v>
      </c>
      <c r="B91" s="1" t="s">
        <v>92</v>
      </c>
      <c r="C91" s="1" t="s">
        <v>92</v>
      </c>
      <c r="D91" s="1">
        <v>-176639000</v>
      </c>
      <c r="E91" s="1">
        <v>-1794562000</v>
      </c>
      <c r="F91" s="1">
        <v>-1125519000</v>
      </c>
      <c r="G91" s="1">
        <v>-1413717000</v>
      </c>
      <c r="N91" s="34" t="s">
        <v>131</v>
      </c>
      <c r="O91" s="35">
        <f>O89/O90</f>
        <v>-0.31757289204097716</v>
      </c>
    </row>
    <row r="92" spans="1:15" ht="20" x14ac:dyDescent="0.25">
      <c r="A92" s="5" t="s">
        <v>77</v>
      </c>
      <c r="B92" s="1" t="s">
        <v>92</v>
      </c>
      <c r="C92" s="1" t="s">
        <v>92</v>
      </c>
      <c r="D92" s="1" t="s">
        <v>92</v>
      </c>
      <c r="E92" s="1">
        <v>670184000</v>
      </c>
      <c r="F92" s="1">
        <v>1114309000</v>
      </c>
      <c r="G92" s="1">
        <v>1139814000</v>
      </c>
      <c r="N92" s="36" t="s">
        <v>132</v>
      </c>
      <c r="O92" s="37">
        <f>O88*(1-O91)</f>
        <v>2.0712513115028166E-2</v>
      </c>
    </row>
    <row r="93" spans="1:15" ht="19" x14ac:dyDescent="0.25">
      <c r="A93" s="5" t="s">
        <v>78</v>
      </c>
      <c r="B93" s="1">
        <v>-5452000</v>
      </c>
      <c r="C93" s="1">
        <v>-6176000</v>
      </c>
      <c r="D93" s="1">
        <v>-10128000</v>
      </c>
      <c r="E93" s="1">
        <v>-20468000</v>
      </c>
      <c r="F93" s="1">
        <v>-26069000</v>
      </c>
      <c r="G93" s="1">
        <v>-29628000</v>
      </c>
      <c r="N93" s="64" t="s">
        <v>133</v>
      </c>
      <c r="O93" s="65"/>
    </row>
    <row r="94" spans="1:15" ht="20" x14ac:dyDescent="0.25">
      <c r="A94" s="6" t="s">
        <v>79</v>
      </c>
      <c r="B94" s="10">
        <v>-12760000</v>
      </c>
      <c r="C94" s="10">
        <v>-17456000</v>
      </c>
      <c r="D94" s="10">
        <v>-202220000</v>
      </c>
      <c r="E94" s="10">
        <v>-1152624000</v>
      </c>
      <c r="F94" s="10">
        <v>-273740000</v>
      </c>
      <c r="G94" s="10">
        <v>-384670000</v>
      </c>
      <c r="N94" s="24" t="s">
        <v>134</v>
      </c>
      <c r="O94" s="38">
        <v>4.095E-2</v>
      </c>
    </row>
    <row r="95" spans="1:15" ht="20" x14ac:dyDescent="0.25">
      <c r="A95" s="5" t="s">
        <v>80</v>
      </c>
      <c r="B95" s="1" t="s">
        <v>92</v>
      </c>
      <c r="C95" s="1" t="s">
        <v>92</v>
      </c>
      <c r="D95" s="1" t="s">
        <v>92</v>
      </c>
      <c r="E95" s="1" t="s">
        <v>92</v>
      </c>
      <c r="F95" s="1" t="s">
        <v>92</v>
      </c>
      <c r="G95" s="1">
        <v>-3000</v>
      </c>
      <c r="N95" s="24" t="s">
        <v>135</v>
      </c>
      <c r="O95" s="39" cm="1">
        <f t="array" ref="O95">_FV(A1,"Beta")</f>
        <v>0.95520000000000005</v>
      </c>
    </row>
    <row r="96" spans="1:15" ht="20" x14ac:dyDescent="0.25">
      <c r="A96" s="5" t="s">
        <v>81</v>
      </c>
      <c r="B96" s="1" t="s">
        <v>92</v>
      </c>
      <c r="C96" s="1" t="s">
        <v>92</v>
      </c>
      <c r="D96" s="1">
        <v>706317000</v>
      </c>
      <c r="E96" s="1" t="s">
        <v>92</v>
      </c>
      <c r="F96" s="1" t="s">
        <v>92</v>
      </c>
      <c r="G96" s="1" t="s">
        <v>92</v>
      </c>
      <c r="N96" s="24" t="s">
        <v>136</v>
      </c>
      <c r="O96" s="38">
        <v>8.4000000000000005E-2</v>
      </c>
    </row>
    <row r="97" spans="1:15" ht="20" x14ac:dyDescent="0.25">
      <c r="A97" s="5" t="s">
        <v>82</v>
      </c>
      <c r="B97" s="1" t="s">
        <v>92</v>
      </c>
      <c r="C97" s="1" t="s">
        <v>92</v>
      </c>
      <c r="D97" s="1" t="s">
        <v>92</v>
      </c>
      <c r="E97" s="1">
        <v>-421000</v>
      </c>
      <c r="F97" s="1" t="s">
        <v>92</v>
      </c>
      <c r="G97" s="1" t="s">
        <v>92</v>
      </c>
      <c r="N97" s="36" t="s">
        <v>137</v>
      </c>
      <c r="O97" s="37">
        <f>(O94)+((O95)*(O96-O94))</f>
        <v>8.207136000000001E-2</v>
      </c>
    </row>
    <row r="98" spans="1:15" ht="19" x14ac:dyDescent="0.25">
      <c r="A98" s="5" t="s">
        <v>83</v>
      </c>
      <c r="B98" s="1" t="s">
        <v>92</v>
      </c>
      <c r="C98" s="1" t="s">
        <v>92</v>
      </c>
      <c r="D98" s="1" t="s">
        <v>92</v>
      </c>
      <c r="E98" s="1" t="s">
        <v>92</v>
      </c>
      <c r="F98" s="1" t="s">
        <v>92</v>
      </c>
      <c r="G98" s="1" t="s">
        <v>92</v>
      </c>
      <c r="N98" s="64" t="s">
        <v>138</v>
      </c>
      <c r="O98" s="65"/>
    </row>
    <row r="99" spans="1:15" ht="20" x14ac:dyDescent="0.25">
      <c r="A99" s="5" t="s">
        <v>84</v>
      </c>
      <c r="B99" s="1">
        <v>462000</v>
      </c>
      <c r="C99" s="1">
        <v>7782000</v>
      </c>
      <c r="D99" s="1">
        <v>7899000</v>
      </c>
      <c r="E99" s="1">
        <v>670697000</v>
      </c>
      <c r="F99" s="1">
        <v>34940000</v>
      </c>
      <c r="G99" s="1">
        <v>36026000</v>
      </c>
      <c r="N99" s="24" t="s">
        <v>139</v>
      </c>
      <c r="O99" s="25">
        <f>O86+O87</f>
        <v>837521000</v>
      </c>
    </row>
    <row r="100" spans="1:15" ht="20" x14ac:dyDescent="0.25">
      <c r="A100" s="6" t="s">
        <v>85</v>
      </c>
      <c r="B100" s="10">
        <v>462000</v>
      </c>
      <c r="C100" s="10">
        <v>7782000</v>
      </c>
      <c r="D100" s="10">
        <v>714216000</v>
      </c>
      <c r="E100" s="10">
        <v>670276000</v>
      </c>
      <c r="F100" s="10">
        <v>34940000</v>
      </c>
      <c r="G100" s="10">
        <v>36023000</v>
      </c>
      <c r="N100" s="34" t="s">
        <v>140</v>
      </c>
      <c r="O100" s="35">
        <f>O99/O103</f>
        <v>2.7478625565315436E-2</v>
      </c>
    </row>
    <row r="101" spans="1:15" ht="20" x14ac:dyDescent="0.25">
      <c r="A101" s="5" t="s">
        <v>86</v>
      </c>
      <c r="B101" s="1">
        <v>-54000</v>
      </c>
      <c r="C101" s="1">
        <v>47000</v>
      </c>
      <c r="D101" s="1">
        <v>-21000</v>
      </c>
      <c r="E101" s="1">
        <v>779000</v>
      </c>
      <c r="F101" s="1">
        <v>-1993000</v>
      </c>
      <c r="G101" s="1">
        <v>-1935000</v>
      </c>
      <c r="N101" s="24" t="s">
        <v>141</v>
      </c>
      <c r="O101" s="40" cm="1">
        <f t="array" ref="O101">_FV(A1,"Market cap",TRUE)</f>
        <v>29641477959</v>
      </c>
    </row>
    <row r="102" spans="1:15" ht="20" x14ac:dyDescent="0.25">
      <c r="A102" s="6" t="s">
        <v>87</v>
      </c>
      <c r="B102" s="10">
        <v>1480000</v>
      </c>
      <c r="C102" s="10">
        <v>1202000</v>
      </c>
      <c r="D102" s="10">
        <v>536209000</v>
      </c>
      <c r="E102" s="10">
        <v>-372478000</v>
      </c>
      <c r="F102" s="10">
        <v>45752000</v>
      </c>
      <c r="G102" s="10">
        <v>67825000</v>
      </c>
      <c r="N102" s="34" t="s">
        <v>142</v>
      </c>
      <c r="O102" s="35">
        <f>O101/O103</f>
        <v>0.97252137443468456</v>
      </c>
    </row>
    <row r="103" spans="1:15" ht="20" x14ac:dyDescent="0.25">
      <c r="A103" s="5" t="s">
        <v>88</v>
      </c>
      <c r="B103" s="1">
        <v>62298000</v>
      </c>
      <c r="C103" s="1">
        <v>63778000</v>
      </c>
      <c r="D103" s="1">
        <v>64980000</v>
      </c>
      <c r="E103" s="1">
        <v>601189000</v>
      </c>
      <c r="F103" s="1">
        <v>228711000</v>
      </c>
      <c r="G103" s="1">
        <v>274463000</v>
      </c>
      <c r="N103" s="36" t="s">
        <v>143</v>
      </c>
      <c r="O103" s="41">
        <f>O99+O101</f>
        <v>30478998959</v>
      </c>
    </row>
    <row r="104" spans="1:15" ht="20" thickBot="1" x14ac:dyDescent="0.3">
      <c r="A104" s="7" t="s">
        <v>89</v>
      </c>
      <c r="B104" s="11">
        <v>63778000</v>
      </c>
      <c r="C104" s="11">
        <v>64980000</v>
      </c>
      <c r="D104" s="11">
        <v>601189000</v>
      </c>
      <c r="E104" s="11">
        <v>228711000</v>
      </c>
      <c r="F104" s="11">
        <v>274463000</v>
      </c>
      <c r="G104" s="11">
        <v>342288000</v>
      </c>
      <c r="N104" s="64" t="s">
        <v>144</v>
      </c>
      <c r="O104" s="65"/>
    </row>
    <row r="105" spans="1:15" ht="21" thickTop="1" x14ac:dyDescent="0.25">
      <c r="A105" s="14" t="s">
        <v>107</v>
      </c>
      <c r="B105" s="1"/>
      <c r="C105" s="15">
        <f>(C106/B106)-1</f>
        <v>-1.8308177143804942</v>
      </c>
      <c r="D105" s="15">
        <f>(D106/C106)-1</f>
        <v>-1.1579157516470353</v>
      </c>
      <c r="E105" s="15">
        <f>(E106/D106)-1</f>
        <v>104.19342604298356</v>
      </c>
      <c r="F105" s="15">
        <f t="shared" ref="F105:G105" si="10">(F106/E106)-1</f>
        <v>2.0107681953658303</v>
      </c>
      <c r="G105" s="15">
        <f t="shared" si="10"/>
        <v>0.41113683538240453</v>
      </c>
      <c r="H105" s="15"/>
      <c r="I105" s="15"/>
      <c r="J105" s="15"/>
      <c r="K105" s="15"/>
      <c r="L105" s="15"/>
      <c r="M105" s="15"/>
      <c r="N105" s="26" t="s">
        <v>108</v>
      </c>
      <c r="O105" s="27">
        <f>(O100*O92)+(O102*O97)</f>
        <v>8.038530322132835E-2</v>
      </c>
    </row>
    <row r="106" spans="1:15" ht="19" x14ac:dyDescent="0.25">
      <c r="A106" s="5" t="s">
        <v>90</v>
      </c>
      <c r="B106" s="1">
        <v>6029000</v>
      </c>
      <c r="C106" s="1">
        <v>-5009000</v>
      </c>
      <c r="D106" s="1">
        <v>791000</v>
      </c>
      <c r="E106" s="1">
        <v>83208000</v>
      </c>
      <c r="F106" s="1">
        <v>250520000</v>
      </c>
      <c r="G106" s="1">
        <v>353518000</v>
      </c>
      <c r="H106" s="42">
        <f>G106*(1+$O$106)</f>
        <v>452580954.056714</v>
      </c>
      <c r="I106" s="42">
        <f t="shared" ref="I106:L106" si="11">H106*(1+$O$106)</f>
        <v>579403368.35715711</v>
      </c>
      <c r="J106" s="42">
        <f t="shared" si="11"/>
        <v>741764009.85170734</v>
      </c>
      <c r="K106" s="42">
        <f t="shared" si="11"/>
        <v>949621414.64824843</v>
      </c>
      <c r="L106" s="42">
        <f t="shared" si="11"/>
        <v>1215724703.7893138</v>
      </c>
      <c r="M106" s="43" t="s">
        <v>145</v>
      </c>
      <c r="N106" s="44" t="s">
        <v>146</v>
      </c>
      <c r="O106" s="45">
        <f>(SUM(H4:L4)/5)</f>
        <v>0.28022039629301487</v>
      </c>
    </row>
    <row r="107" spans="1:15" ht="19" x14ac:dyDescent="0.25">
      <c r="A107" s="5"/>
      <c r="B107" s="13"/>
      <c r="C107" s="13"/>
      <c r="D107" s="13"/>
      <c r="E107" s="13"/>
      <c r="F107" s="13"/>
      <c r="G107" s="13"/>
      <c r="H107" s="43"/>
      <c r="I107" s="43"/>
      <c r="J107" s="43"/>
      <c r="K107" s="43"/>
      <c r="L107" s="46">
        <f>L106*(1+O107)/(O108-O107)</f>
        <v>22499070130.651169</v>
      </c>
      <c r="M107" s="47" t="s">
        <v>147</v>
      </c>
      <c r="N107" s="48" t="s">
        <v>148</v>
      </c>
      <c r="O107" s="49">
        <v>2.5000000000000001E-2</v>
      </c>
    </row>
    <row r="108" spans="1:15" ht="19" x14ac:dyDescent="0.25">
      <c r="H108" s="46">
        <f t="shared" ref="H108:J108" si="12">H107+H106</f>
        <v>452580954.056714</v>
      </c>
      <c r="I108" s="46">
        <f t="shared" si="12"/>
        <v>579403368.35715711</v>
      </c>
      <c r="J108" s="46">
        <f t="shared" si="12"/>
        <v>741764009.85170734</v>
      </c>
      <c r="K108" s="46">
        <f>K107+K106</f>
        <v>949621414.64824843</v>
      </c>
      <c r="L108" s="46">
        <f>L107+L106</f>
        <v>23714794834.440483</v>
      </c>
      <c r="M108" s="47" t="s">
        <v>143</v>
      </c>
      <c r="N108" s="50" t="s">
        <v>149</v>
      </c>
      <c r="O108" s="51">
        <f>O105</f>
        <v>8.038530322132835E-2</v>
      </c>
    </row>
    <row r="109" spans="1:15" ht="19" x14ac:dyDescent="0.25">
      <c r="H109" s="60" t="s">
        <v>150</v>
      </c>
      <c r="I109" s="61"/>
    </row>
    <row r="110" spans="1:15" ht="20" x14ac:dyDescent="0.25">
      <c r="H110" s="52" t="s">
        <v>151</v>
      </c>
      <c r="I110" s="40">
        <f>NPV(O108,H108,I108,J108,K108,L108)</f>
        <v>18311640202.72842</v>
      </c>
    </row>
    <row r="111" spans="1:15" ht="20" x14ac:dyDescent="0.25">
      <c r="H111" s="52" t="s">
        <v>152</v>
      </c>
      <c r="I111" s="40">
        <f>G40</f>
        <v>1884326000</v>
      </c>
    </row>
    <row r="112" spans="1:15" ht="20" x14ac:dyDescent="0.25">
      <c r="H112" s="52" t="s">
        <v>139</v>
      </c>
      <c r="I112" s="40">
        <f>O99</f>
        <v>837521000</v>
      </c>
    </row>
    <row r="113" spans="8:9" ht="20" x14ac:dyDescent="0.25">
      <c r="H113" s="52" t="s">
        <v>153</v>
      </c>
      <c r="I113" s="40">
        <f>I110+I111-I112</f>
        <v>19358445202.72842</v>
      </c>
    </row>
    <row r="114" spans="8:9" ht="20" x14ac:dyDescent="0.25">
      <c r="H114" s="52" t="s">
        <v>159</v>
      </c>
      <c r="I114" s="53" cm="1">
        <f t="array" ref="I114">_FV(A1,"Shares outstanding",TRUE)</f>
        <v>321875100</v>
      </c>
    </row>
    <row r="115" spans="8:9" ht="20" x14ac:dyDescent="0.25">
      <c r="H115" s="54" t="s">
        <v>154</v>
      </c>
      <c r="I115" s="59">
        <f>I113/I114</f>
        <v>60.142723692290645</v>
      </c>
    </row>
    <row r="116" spans="8:9" ht="20" x14ac:dyDescent="0.25">
      <c r="H116" s="52" t="s">
        <v>155</v>
      </c>
      <c r="I116" s="55" cm="1">
        <f t="array" ref="I116">_FV(A1,"Price")</f>
        <v>92.09</v>
      </c>
    </row>
    <row r="117" spans="8:9" ht="20" x14ac:dyDescent="0.25">
      <c r="H117" s="56" t="s">
        <v>156</v>
      </c>
      <c r="I117" s="57">
        <f>I115/I116-1</f>
        <v>-0.34691363131403363</v>
      </c>
    </row>
    <row r="118" spans="8:9" ht="20" x14ac:dyDescent="0.25">
      <c r="H118" s="56" t="s">
        <v>157</v>
      </c>
      <c r="I118" s="58"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2023-05-19T22:56:02Z</dcterms:modified>
</cp:coreProperties>
</file>