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1C68452-FA80-E34A-B009-816B09D1635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16" i="1" s="1"/>
  <c r="U95" i="1" a="1"/>
  <c r="U95" i="1" s="1"/>
  <c r="U97" i="1" s="1"/>
  <c r="O106" i="1"/>
  <c r="P106" i="1" s="1"/>
  <c r="Q106" i="1" s="1"/>
  <c r="R106" i="1" s="1"/>
  <c r="N106" i="1"/>
  <c r="O114" i="1"/>
  <c r="O111" i="1"/>
  <c r="U90" i="1"/>
  <c r="U89" i="1"/>
  <c r="U91" i="1" s="1"/>
  <c r="U87" i="1"/>
  <c r="U86" i="1"/>
  <c r="U99" i="1" s="1"/>
  <c r="U85" i="1"/>
  <c r="U88" i="1" s="1"/>
  <c r="S19" i="1"/>
  <c r="S16" i="1"/>
  <c r="V13" i="1"/>
  <c r="U13" i="1"/>
  <c r="T13" i="1"/>
  <c r="S13" i="1"/>
  <c r="V10" i="1"/>
  <c r="U10" i="1"/>
  <c r="T10" i="1"/>
  <c r="S10" i="1"/>
  <c r="V7" i="1"/>
  <c r="U7" i="1"/>
  <c r="T7" i="1"/>
  <c r="S7" i="1"/>
  <c r="V4" i="1"/>
  <c r="U4" i="1"/>
  <c r="T4" i="1"/>
  <c r="S4" i="1"/>
  <c r="R4" i="1"/>
  <c r="Q4" i="1"/>
  <c r="P4" i="1"/>
  <c r="U106" i="1" s="1"/>
  <c r="O4" i="1"/>
  <c r="N4" i="1"/>
  <c r="M9" i="1"/>
  <c r="M13" i="1"/>
  <c r="M20" i="1"/>
  <c r="M29" i="1"/>
  <c r="M35" i="1"/>
  <c r="M80" i="1"/>
  <c r="M89" i="1"/>
  <c r="M105"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9" i="1" l="1"/>
  <c r="T16" i="1"/>
  <c r="V16" i="1"/>
  <c r="O112" i="1"/>
  <c r="U103" i="1"/>
  <c r="U102" i="1" s="1"/>
  <c r="O108" i="1"/>
  <c r="U92" i="1"/>
  <c r="N108" i="1"/>
  <c r="P108" i="1" l="1"/>
  <c r="U100" i="1"/>
  <c r="U105" i="1" s="1"/>
  <c r="U108" i="1" s="1"/>
  <c r="R107" i="1" s="1"/>
  <c r="R108" i="1" s="1"/>
  <c r="Q108" i="1" l="1"/>
  <c r="O110" i="1" s="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<sst xmlns="http://schemas.openxmlformats.org/spreadsheetml/2006/main" count="419" uniqueCount="161">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</sst>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xf numFmtId="170" fontId="11" fillId="0" borderId="11" xfId="0" applyNumberFormat="1" applyFont="1" applyBorder="1" applyAlignment="1">
      <alignment horizontal="center"/>
    </xf>
    <xf numFmtId="170" fontId="11" fillId="0" borderId="8"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428457978726895E-2"/>
          <c:y val="0.10733813689728632"/>
          <c:w val="0.85663522826232263"/>
          <c:h val="0.755764233880128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8D8D-7D46-A56F-4934FA59D6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-22490000</c:v>
                </c:pt>
                <c:pt idx="1">
                  <c:v>-15979000</c:v>
                </c:pt>
                <c:pt idx="2">
                  <c:v>-29782000</c:v>
                </c:pt>
                <c:pt idx="3">
                  <c:v>-42285000</c:v>
                </c:pt>
                <c:pt idx="4">
                  <c:v>-38113000</c:v>
                </c:pt>
                <c:pt idx="5">
                  <c:v>-33587000</c:v>
                </c:pt>
                <c:pt idx="6">
                  <c:v>-21072000</c:v>
                </c:pt>
                <c:pt idx="7">
                  <c:v>-17146000</c:v>
                </c:pt>
                <c:pt idx="8">
                  <c:v>838000</c:v>
                </c:pt>
                <c:pt idx="9">
                  <c:v>-6706000</c:v>
                </c:pt>
                <c:pt idx="10">
                  <c:v>1623000</c:v>
                </c:pt>
                <c:pt idx="11">
                  <c:v>-42780000</c:v>
                </c:pt>
              </c:numCache>
            </c:numRef>
          </c:val>
          <c:extLst>
            <c:ext xmlns:c16="http://schemas.microsoft.com/office/drawing/2014/chart" uri="{C3380CC4-5D6E-409C-BE32-E72D297353CC}">
              <c16:uniqueId val="{00000001-8D8D-7D46-A56F-4934FA59D6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8D8D-7D46-A56F-4934FA59D6DB}"/>
            </c:ext>
          </c:extLst>
        </c:ser>
        <c:dLbls>
          <c:showLegendKey val="0"/>
          <c:showVal val="0"/>
          <c:showCatName val="0"/>
          <c:showSerName val="0"/>
          <c:showPercent val="0"/>
          <c:showBubbleSize val="0"/>
        </c:dLbls>
        <c:gapWidth val="100"/>
        <c:overlap val="-24"/>
        <c:axId val="1860983567"/>
        <c:axId val="1860985295"/>
      </c:barChart>
      <c:catAx>
        <c:axId val="18609835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0985295"/>
        <c:crosses val="autoZero"/>
        <c:auto val="1"/>
        <c:lblAlgn val="ctr"/>
        <c:lblOffset val="100"/>
        <c:noMultiLvlLbl val="0"/>
      </c:catAx>
      <c:valAx>
        <c:axId val="18609852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0983567"/>
        <c:crosses val="autoZero"/>
        <c:crossBetween val="between"/>
      </c:valAx>
      <c:spPr>
        <a:noFill/>
        <a:ln>
          <a:noFill/>
        </a:ln>
        <a:effectLst/>
      </c:spPr>
    </c:plotArea>
    <c:legend>
      <c:legendPos val="b"/>
      <c:layout>
        <c:manualLayout>
          <c:xMode val="edge"/>
          <c:yMode val="edge"/>
          <c:x val="0.34834772530679875"/>
          <c:y val="0.91834838554815934"/>
          <c:w val="0.30330444518106042"/>
          <c:h val="4.46347391116121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25399</xdr:rowOff>
    </xdr:from>
    <xdr:to>
      <xdr:col>20</xdr:col>
      <xdr:colOff>1603374</xdr:colOff>
      <xdr:row>134</xdr:row>
      <xdr:rowOff>31749</xdr:rowOff>
    </xdr:to>
    <xdr:graphicFrame macro="">
      <xdr:nvGraphicFramePr>
        <xdr:cNvPr id="2" name="Chart 1">
          <a:extLst>
            <a:ext uri="{FF2B5EF4-FFF2-40B4-BE49-F238E27FC236}">
              <a16:creationId xmlns:a16="http://schemas.microsoft.com/office/drawing/2014/main" id="{D12F9A0D-E50D-F0C5-180F-3EBFB42C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498.24</v>
    <v>245.03</v>
    <v>1.5821000000000001</v>
    <v>-1.38</v>
    <v>-2.8160000000000004E-3</v>
    <v>1.26</v>
    <v>2.5779999999999996E-3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498.24</v>
    <v>Software &amp; IT Services</v>
    <v>Stock</v>
    <v>45071.977729154685</v>
    <v>0</v>
    <v>488.69499999999999</v>
    <v>24260413350</v>
    <v>HUBSPOT, INC.</v>
    <v>HUBSPOT, INC.</v>
    <v>498.15</v>
    <v>0</v>
    <v>490.12</v>
    <v>488.74</v>
    <v>490</v>
    <v>49638690</v>
    <v>HUBS</v>
    <v>HUBSPOT, INC. (XNYS:HUBS)</v>
    <v>353405</v>
    <v>635346</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2" activePane="bottomRight" state="frozen"/>
      <selection pane="topRight"/>
      <selection pane="bottomLeft"/>
      <selection pane="bottomRight" activeCell="R22" sqref="R22"/>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8">
        <v>2057000000</v>
      </c>
      <c r="O3" s="28">
        <v>2509000000</v>
      </c>
      <c r="P3" s="28">
        <v>3082000000</v>
      </c>
      <c r="Q3" s="28">
        <v>3713000000</v>
      </c>
      <c r="R3" s="28">
        <v>4412000000</v>
      </c>
      <c r="S3" s="19" t="s">
        <v>109</v>
      </c>
      <c r="T3" s="20" t="s">
        <v>110</v>
      </c>
      <c r="U3" s="20" t="s">
        <v>111</v>
      </c>
      <c r="V3" s="20" t="s">
        <v>112</v>
      </c>
    </row>
    <row r="4" spans="1:38" ht="19" x14ac:dyDescent="0.25">
      <c r="A4" s="14" t="s">
        <v>94</v>
      </c>
      <c r="B4" s="1"/>
      <c r="C4" s="15">
        <f>(C3/B3)-1</f>
        <v>0.80730571218435898</v>
      </c>
      <c r="D4" s="15">
        <f>(D3/C3)-1</f>
        <v>0.5044182621502209</v>
      </c>
      <c r="E4" s="15">
        <f>(E3/D3)-1</f>
        <v>0.49259345132287402</v>
      </c>
      <c r="F4" s="15">
        <f t="shared" ref="F4:R4" si="0">(F3/E3)-1</f>
        <v>0.5701525768925404</v>
      </c>
      <c r="G4" s="16">
        <f t="shared" si="0"/>
        <v>0.48929609822856612</v>
      </c>
      <c r="H4" s="16">
        <f t="shared" si="0"/>
        <v>0.38619093837995022</v>
      </c>
      <c r="I4" s="16">
        <f t="shared" si="0"/>
        <v>0.36571781519227287</v>
      </c>
      <c r="J4" s="16">
        <f t="shared" si="0"/>
        <v>0.31556785839603885</v>
      </c>
      <c r="K4" s="16">
        <f t="shared" si="0"/>
        <v>0.30845805055863429</v>
      </c>
      <c r="L4" s="16">
        <f t="shared" si="0"/>
        <v>0.47295549621415445</v>
      </c>
      <c r="M4" s="16">
        <f t="shared" si="0"/>
        <v>0.33084100509126912</v>
      </c>
      <c r="N4" s="16">
        <f t="shared" si="0"/>
        <v>0.18835172669181244</v>
      </c>
      <c r="O4" s="16">
        <f t="shared" si="0"/>
        <v>0.21973748176956742</v>
      </c>
      <c r="P4" s="16">
        <f t="shared" si="0"/>
        <v>0.22837783977680348</v>
      </c>
      <c r="Q4" s="16">
        <f t="shared" si="0"/>
        <v>0.20473718364698246</v>
      </c>
      <c r="R4" s="16">
        <f t="shared" si="0"/>
        <v>0.1882574737409104</v>
      </c>
      <c r="S4" s="17">
        <f>(M4+L4+K4)/3</f>
        <v>0.37075151728801931</v>
      </c>
      <c r="T4" s="17">
        <f>(M20+L20+K20)/3</f>
        <v>-12.534334632906047</v>
      </c>
      <c r="U4" s="17">
        <f>(M29+L29+K29)/3</f>
        <v>0.31533748055902994</v>
      </c>
      <c r="V4" s="17">
        <f>(M105+L105+K105)/3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113</v>
      </c>
      <c r="T6" s="20" t="s">
        <v>114</v>
      </c>
      <c r="U6" s="20" t="s">
        <v>115</v>
      </c>
      <c r="V6" s="20" t="s">
        <v>116</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M106/M3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95</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96</v>
      </c>
      <c r="T9" s="20" t="s">
        <v>97</v>
      </c>
      <c r="U9" s="20" t="s">
        <v>98</v>
      </c>
      <c r="V9" s="20" t="s">
        <v>99</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117</v>
      </c>
      <c r="T12" s="20" t="s">
        <v>118</v>
      </c>
      <c r="U12" s="20" t="s">
        <v>119</v>
      </c>
      <c r="V12" s="20" t="s">
        <v>120</v>
      </c>
    </row>
    <row r="13" spans="1:38" ht="19" x14ac:dyDescent="0.25">
      <c r="A13" s="14" t="s">
        <v>100</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66">
        <f>M67/M72</f>
        <v>1.5646809591382591</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121</v>
      </c>
      <c r="T15" s="20" t="s">
        <v>122</v>
      </c>
      <c r="U15" s="20" t="s">
        <v>123</v>
      </c>
      <c r="V15" s="20" t="s">
        <v>124</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29">
        <f>(M35+L35+K35+J35+I35)/5</f>
        <v>5.517441772345557E-2</v>
      </c>
      <c r="T16" s="65">
        <f>U101/M3</f>
        <v>14.015510012022167</v>
      </c>
      <c r="U16" s="65">
        <f>U101/M28</f>
        <v>-215.17187159087885</v>
      </c>
      <c r="V16" s="67">
        <f>U101/M106</f>
        <v>126.75043416247394</v>
      </c>
    </row>
    <row r="17" spans="1:20"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20"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125</v>
      </c>
      <c r="T18" s="20" t="s">
        <v>160</v>
      </c>
    </row>
    <row r="19" spans="1:20"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S19" s="30">
        <f>M40-M56-M61</f>
        <v>606345000</v>
      </c>
      <c r="T19" s="68">
        <f>U101/N3</f>
        <v>11.794075522605736</v>
      </c>
    </row>
    <row r="20" spans="1:20" ht="19" customHeight="1" x14ac:dyDescent="0.25">
      <c r="A20" s="14" t="s">
        <v>101</v>
      </c>
      <c r="B20" s="1"/>
      <c r="C20" s="15">
        <f>(C19/B19)-1</f>
        <v>-0.28950644730991548</v>
      </c>
      <c r="D20" s="15">
        <f>(D19/C19)-1</f>
        <v>0.86382126541085169</v>
      </c>
      <c r="E20" s="15">
        <f>(E19/D19)-1</f>
        <v>0.41981733933248266</v>
      </c>
      <c r="F20" s="15">
        <f t="shared" ref="F20:M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row>
    <row r="21" spans="1:20" ht="19"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row>
    <row r="22" spans="1:20"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row>
    <row r="23" spans="1:20"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20"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20"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20"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20" ht="19" x14ac:dyDescent="0.25">
      <c r="A27" s="5" t="s">
        <v>21</v>
      </c>
      <c r="B27" s="1" t="s">
        <v>92</v>
      </c>
      <c r="C27" s="1" t="s">
        <v>92</v>
      </c>
      <c r="D27" s="1" t="s">
        <v>92</v>
      </c>
      <c r="E27" s="1">
        <v>-92000</v>
      </c>
      <c r="F27" s="1">
        <v>412000</v>
      </c>
      <c r="G27" s="1">
        <v>533000</v>
      </c>
      <c r="H27" s="1">
        <v>-10325000</v>
      </c>
      <c r="I27" s="1">
        <v>1868000</v>
      </c>
      <c r="J27" s="1">
        <v>2973000</v>
      </c>
      <c r="K27" s="1">
        <v>4216000</v>
      </c>
      <c r="L27" s="1">
        <v>4019000</v>
      </c>
      <c r="M27" s="1">
        <v>8057000</v>
      </c>
    </row>
    <row r="28" spans="1:20" ht="19" x14ac:dyDescent="0.25">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row>
    <row r="29" spans="1:20" ht="20" customHeight="1" x14ac:dyDescent="0.25">
      <c r="A29" s="14" t="s">
        <v>102</v>
      </c>
      <c r="B29" s="1"/>
      <c r="C29" s="15">
        <f>(C28/B28)-1</f>
        <v>-0.23075662611117942</v>
      </c>
      <c r="D29" s="15">
        <f>(D28/C28)-1</f>
        <v>0.82522100330173598</v>
      </c>
      <c r="E29" s="15">
        <f>(E28/D28)-1</f>
        <v>0.40715994631499086</v>
      </c>
      <c r="F29" s="15">
        <f t="shared" ref="F29:M29" si="4">(F28/E28)-1</f>
        <v>-4.5118082481494515E-2</v>
      </c>
      <c r="G29" s="15">
        <f t="shared" si="4"/>
        <v>-1.0661628992682304E-2</v>
      </c>
      <c r="H29" s="15">
        <f t="shared" si="4"/>
        <v>-0.12835257451384929</v>
      </c>
      <c r="I29" s="15">
        <f t="shared" si="4"/>
        <v>0.60719141864329962</v>
      </c>
      <c r="J29" s="15">
        <f t="shared" si="4"/>
        <v>-0.15795575609450396</v>
      </c>
      <c r="K29" s="15">
        <f t="shared" si="4"/>
        <v>0.5820898299408328</v>
      </c>
      <c r="L29" s="15">
        <f t="shared" si="4"/>
        <v>-8.4604438381296276E-2</v>
      </c>
      <c r="M29" s="15">
        <f t="shared" si="4"/>
        <v>0.44852705011755334</v>
      </c>
    </row>
    <row r="30" spans="1:20"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row>
    <row r="31" spans="1:20" ht="19" x14ac:dyDescent="0.25">
      <c r="A31" s="5" t="s">
        <v>24</v>
      </c>
      <c r="B31" s="12">
        <v>-1.03</v>
      </c>
      <c r="C31" s="12">
        <v>-0.75</v>
      </c>
      <c r="D31" s="12">
        <v>-1.39</v>
      </c>
      <c r="E31" s="12">
        <v>-4.2</v>
      </c>
      <c r="F31" s="12">
        <v>-1.39</v>
      </c>
      <c r="G31" s="12">
        <v>-1.29</v>
      </c>
      <c r="H31" s="12">
        <v>-1.08</v>
      </c>
      <c r="I31" s="12">
        <v>-1.66</v>
      </c>
      <c r="J31" s="12">
        <v>-1.28</v>
      </c>
      <c r="K31" s="12">
        <v>-1.9</v>
      </c>
      <c r="L31" s="12">
        <v>-1.74</v>
      </c>
      <c r="M31" s="12">
        <v>-2.35</v>
      </c>
    </row>
    <row r="32" spans="1:20"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103</v>
      </c>
      <c r="B35" s="1"/>
      <c r="C35" s="22">
        <f>(C34-B34)/B34</f>
        <v>2.1223065373534068E-2</v>
      </c>
      <c r="D35" s="22">
        <f t="shared" ref="D35:K35" si="5">(D34-C34)/C34</f>
        <v>-2.0782007470396567E-2</v>
      </c>
      <c r="E35" s="22">
        <f t="shared" si="5"/>
        <v>-0.53082011118776118</v>
      </c>
      <c r="F35" s="22">
        <f t="shared" si="5"/>
        <v>1.8733783082511677</v>
      </c>
      <c r="G35" s="22">
        <f t="shared" si="5"/>
        <v>5.9448558184335684E-2</v>
      </c>
      <c r="H35" s="22">
        <f t="shared" si="5"/>
        <v>4.6310765122027447E-2</v>
      </c>
      <c r="I35" s="22">
        <f t="shared" si="5"/>
        <v>4.6216091454639258E-2</v>
      </c>
      <c r="J35" s="22">
        <f t="shared" si="5"/>
        <v>9.0736847569363344E-2</v>
      </c>
      <c r="K35" s="22">
        <f t="shared" si="5"/>
        <v>6.500892325996431E-2</v>
      </c>
      <c r="L35" s="22">
        <f>(L34-K34)/K34</f>
        <v>0</v>
      </c>
      <c r="M35" s="22">
        <f>(M34-L34)/L34</f>
        <v>7.3910226333310985E-2</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92</v>
      </c>
      <c r="C39" s="1" t="s">
        <v>92</v>
      </c>
      <c r="D39" s="1" t="s">
        <v>92</v>
      </c>
      <c r="E39" s="1" t="s">
        <v>92</v>
      </c>
      <c r="F39" s="1">
        <v>48972000</v>
      </c>
      <c r="G39" s="1">
        <v>54648000</v>
      </c>
      <c r="H39" s="1">
        <v>416663000</v>
      </c>
      <c r="I39" s="1">
        <v>480761000</v>
      </c>
      <c r="J39" s="1">
        <v>691834000</v>
      </c>
      <c r="K39" s="1">
        <v>873073000</v>
      </c>
      <c r="L39" s="1">
        <v>820962000</v>
      </c>
      <c r="M39" s="1">
        <v>1081662000</v>
      </c>
    </row>
    <row r="40" spans="1:13" ht="19" x14ac:dyDescent="0.25">
      <c r="A40" s="5" t="s">
        <v>32</v>
      </c>
      <c r="B40" s="1" t="s">
        <v>92</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92</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t="s">
        <v>92</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92</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92</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92</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92</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92</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92</v>
      </c>
      <c r="C49" s="1" t="s">
        <v>92</v>
      </c>
      <c r="D49" s="1" t="s">
        <v>92</v>
      </c>
      <c r="E49" s="1" t="s">
        <v>92</v>
      </c>
      <c r="F49" s="1">
        <v>40566000</v>
      </c>
      <c r="G49" s="1">
        <v>35718000</v>
      </c>
      <c r="H49" s="1">
        <v>31394000</v>
      </c>
      <c r="I49" s="1">
        <v>11450000</v>
      </c>
      <c r="J49" s="1">
        <v>53776000</v>
      </c>
      <c r="K49" s="1">
        <v>30697000</v>
      </c>
      <c r="L49" s="1">
        <v>174895000</v>
      </c>
      <c r="M49" s="1">
        <v>112791000</v>
      </c>
    </row>
    <row r="50" spans="1:1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row>
    <row r="51" spans="1:13" ht="19" x14ac:dyDescent="0.25">
      <c r="A51" s="5" t="s">
        <v>43</v>
      </c>
      <c r="B51" s="1" t="s">
        <v>92</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92</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92</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92</v>
      </c>
      <c r="C56" s="1">
        <v>107000</v>
      </c>
      <c r="D56" s="1">
        <v>96000</v>
      </c>
      <c r="E56" s="1">
        <v>100000</v>
      </c>
      <c r="F56" s="1">
        <v>542000</v>
      </c>
      <c r="G56" s="1">
        <v>796000</v>
      </c>
      <c r="H56" s="1" t="s">
        <v>92</v>
      </c>
      <c r="I56" s="1" t="s">
        <v>92</v>
      </c>
      <c r="J56" s="1">
        <v>23613000</v>
      </c>
      <c r="K56" s="1">
        <v>37857000</v>
      </c>
      <c r="L56" s="1">
        <v>45994000</v>
      </c>
      <c r="M56" s="1">
        <v>35928000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92</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92</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92</v>
      </c>
      <c r="C61" s="1" t="s">
        <v>92</v>
      </c>
      <c r="D61" s="1" t="s">
        <v>92</v>
      </c>
      <c r="E61" s="1" t="s">
        <v>92</v>
      </c>
      <c r="F61" s="1" t="s">
        <v>92</v>
      </c>
      <c r="G61" s="1" t="s">
        <v>92</v>
      </c>
      <c r="H61" s="1">
        <v>298447000</v>
      </c>
      <c r="I61" s="1">
        <v>318782000</v>
      </c>
      <c r="J61" s="1">
        <v>340564000</v>
      </c>
      <c r="K61" s="1">
        <v>750763000</v>
      </c>
      <c r="L61" s="1">
        <v>666974000</v>
      </c>
      <c r="M61" s="1">
        <v>770411000</v>
      </c>
    </row>
    <row r="62" spans="1:13" ht="19" x14ac:dyDescent="0.25">
      <c r="A62" s="5" t="s">
        <v>50</v>
      </c>
      <c r="B62" s="1" t="s">
        <v>92</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row>
    <row r="64" spans="1:13" ht="19" x14ac:dyDescent="0.25">
      <c r="A64" s="5" t="s">
        <v>55</v>
      </c>
      <c r="B64" s="1" t="s">
        <v>92</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92</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92</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92</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92</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92</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92</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92</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92</v>
      </c>
      <c r="C78" s="1" t="s">
        <v>92</v>
      </c>
      <c r="D78" s="1" t="s">
        <v>92</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104</v>
      </c>
      <c r="B80" s="15">
        <f t="shared" ref="B80:M80" si="6">B79/B3</f>
        <v>0.16176934122509018</v>
      </c>
      <c r="C80" s="15">
        <f t="shared" si="6"/>
        <v>4.8736532051778934E-2</v>
      </c>
      <c r="D80" s="15">
        <f t="shared" si="6"/>
        <v>4.4619625421851251E-2</v>
      </c>
      <c r="E80" s="15">
        <f t="shared" si="6"/>
        <v>0.14116814525872484</v>
      </c>
      <c r="F80" s="15">
        <f t="shared" si="6"/>
        <v>0.11711360151256163</v>
      </c>
      <c r="G80" s="15">
        <f t="shared" si="6"/>
        <v>0.12058663970151347</v>
      </c>
      <c r="H80" s="15">
        <f t="shared" si="6"/>
        <v>0.12597307860238757</v>
      </c>
      <c r="I80" s="15">
        <f t="shared" si="6"/>
        <v>0.14866271589535654</v>
      </c>
      <c r="J80" s="15">
        <f t="shared" si="6"/>
        <v>0.14485078386628339</v>
      </c>
      <c r="K80" s="15">
        <f t="shared" si="6"/>
        <v>0.13758145286775247</v>
      </c>
      <c r="L80" s="15">
        <f t="shared" si="6"/>
        <v>0.12821279690741147</v>
      </c>
      <c r="M80" s="15">
        <f t="shared" si="6"/>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59" t="s">
        <v>126</v>
      </c>
      <c r="U83" s="60"/>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61" t="s">
        <v>127</v>
      </c>
      <c r="U84" s="62"/>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92</v>
      </c>
      <c r="T85" s="23" t="s">
        <v>128</v>
      </c>
      <c r="U85" s="24">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92</v>
      </c>
      <c r="T86" s="23" t="s">
        <v>129</v>
      </c>
      <c r="U86" s="24">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23" t="s">
        <v>130</v>
      </c>
      <c r="U87" s="24">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31" t="s">
        <v>131</v>
      </c>
      <c r="U88" s="32">
        <f>U85/(U86+U87)</f>
        <v>4.6655314948179363E-3</v>
      </c>
    </row>
    <row r="89" spans="1:21" ht="20" customHeight="1" x14ac:dyDescent="0.25">
      <c r="A89" s="14" t="s">
        <v>105</v>
      </c>
      <c r="B89" s="15">
        <f t="shared" ref="B89:M89" si="7">(-1*B88)/B3</f>
        <v>4.1046474976359749E-2</v>
      </c>
      <c r="C89" s="15">
        <f t="shared" si="7"/>
        <v>6.2398263700488331E-3</v>
      </c>
      <c r="D89" s="15">
        <f t="shared" si="7"/>
        <v>5.6135198495504544E-2</v>
      </c>
      <c r="E89" s="15">
        <f t="shared" si="7"/>
        <v>6.2704960474990509E-2</v>
      </c>
      <c r="F89" s="15">
        <f t="shared" si="7"/>
        <v>4.6316703582990275E-2</v>
      </c>
      <c r="G89" s="15">
        <f t="shared" si="7"/>
        <v>5.8269088117741272E-2</v>
      </c>
      <c r="H89" s="15">
        <f t="shared" si="7"/>
        <v>5.3981235956252732E-2</v>
      </c>
      <c r="I89" s="15">
        <f t="shared" si="7"/>
        <v>4.348122733829779E-2</v>
      </c>
      <c r="J89" s="15">
        <f t="shared" si="7"/>
        <v>5.9822778057671222E-2</v>
      </c>
      <c r="K89" s="15">
        <f t="shared" si="7"/>
        <v>4.2211667606616342E-2</v>
      </c>
      <c r="L89" s="15">
        <f t="shared" si="7"/>
        <v>2.2085744292504254E-2</v>
      </c>
      <c r="M89" s="15">
        <f t="shared" si="7"/>
        <v>2.1621415519284284E-2</v>
      </c>
      <c r="T89" s="23" t="s">
        <v>106</v>
      </c>
      <c r="U89" s="24">
        <f>M27</f>
        <v>8057000</v>
      </c>
    </row>
    <row r="90" spans="1:21" ht="20" x14ac:dyDescent="0.25">
      <c r="A90" s="5" t="s">
        <v>75</v>
      </c>
      <c r="B90" s="1">
        <v>1022000</v>
      </c>
      <c r="C90" s="1" t="s">
        <v>92</v>
      </c>
      <c r="D90" s="1" t="s">
        <v>92</v>
      </c>
      <c r="E90" s="1" t="s">
        <v>92</v>
      </c>
      <c r="F90" s="1">
        <v>-600000</v>
      </c>
      <c r="G90" s="1" t="s">
        <v>92</v>
      </c>
      <c r="H90" s="1">
        <v>-12915000</v>
      </c>
      <c r="I90" s="1">
        <v>-500000</v>
      </c>
      <c r="J90" s="1">
        <v>-23867000</v>
      </c>
      <c r="K90" s="1">
        <v>-2500000</v>
      </c>
      <c r="L90" s="1">
        <v>-19910000</v>
      </c>
      <c r="M90" s="1" t="s">
        <v>92</v>
      </c>
      <c r="T90" s="23" t="s">
        <v>19</v>
      </c>
      <c r="U90" s="24">
        <f>M25</f>
        <v>-104692000</v>
      </c>
    </row>
    <row r="91" spans="1:21" ht="20" x14ac:dyDescent="0.25">
      <c r="A91" s="5" t="s">
        <v>76</v>
      </c>
      <c r="B91" s="1" t="s">
        <v>92</v>
      </c>
      <c r="C91" s="1" t="s">
        <v>92</v>
      </c>
      <c r="D91" s="1" t="s">
        <v>92</v>
      </c>
      <c r="E91" s="1" t="s">
        <v>92</v>
      </c>
      <c r="F91" s="1">
        <v>-113615000</v>
      </c>
      <c r="G91" s="1">
        <v>-52131000</v>
      </c>
      <c r="H91" s="1">
        <v>-893509000</v>
      </c>
      <c r="I91" s="1">
        <v>-682132000</v>
      </c>
      <c r="J91" s="1">
        <v>-1305400000</v>
      </c>
      <c r="K91" s="1">
        <v>-1517357000</v>
      </c>
      <c r="L91" s="1">
        <v>-1497851000</v>
      </c>
      <c r="M91" s="1">
        <v>-1534241000</v>
      </c>
      <c r="T91" s="31" t="s">
        <v>132</v>
      </c>
      <c r="U91" s="32">
        <f>U89/U90</f>
        <v>-7.6959079967905852E-2</v>
      </c>
    </row>
    <row r="92" spans="1:21" ht="20" x14ac:dyDescent="0.25">
      <c r="A92" s="5" t="s">
        <v>77</v>
      </c>
      <c r="B92" s="1" t="s">
        <v>92</v>
      </c>
      <c r="C92" s="1" t="s">
        <v>92</v>
      </c>
      <c r="D92" s="1" t="s">
        <v>92</v>
      </c>
      <c r="E92" s="1" t="s">
        <v>92</v>
      </c>
      <c r="F92" s="1">
        <v>23018000</v>
      </c>
      <c r="G92" s="1">
        <v>50840000</v>
      </c>
      <c r="H92" s="1">
        <v>533660000</v>
      </c>
      <c r="I92" s="1">
        <v>644375000</v>
      </c>
      <c r="J92" s="1">
        <v>1066366000</v>
      </c>
      <c r="K92" s="1">
        <v>1363163000</v>
      </c>
      <c r="L92" s="1">
        <v>1400118000</v>
      </c>
      <c r="M92" s="1">
        <v>1309504000</v>
      </c>
      <c r="T92" s="33" t="s">
        <v>133</v>
      </c>
      <c r="U92" s="34">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61" t="s">
        <v>134</v>
      </c>
      <c r="U93" s="62"/>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23" t="s">
        <v>135</v>
      </c>
      <c r="U94" s="35">
        <v>4.095E-2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23" t="s">
        <v>136</v>
      </c>
      <c r="U95" s="55" cm="1">
        <f t="array" ref="U95">_FV(A1,"Beta")</f>
        <v>1.5821000000000001</v>
      </c>
    </row>
    <row r="96" spans="1:21" ht="20" x14ac:dyDescent="0.25">
      <c r="A96" s="5" t="s">
        <v>81</v>
      </c>
      <c r="B96" s="1">
        <v>21348000</v>
      </c>
      <c r="C96" s="1" t="s">
        <v>92</v>
      </c>
      <c r="D96" s="1" t="s">
        <v>92</v>
      </c>
      <c r="E96" s="1">
        <v>130764000</v>
      </c>
      <c r="F96" s="1">
        <v>33669000</v>
      </c>
      <c r="G96" s="1" t="s">
        <v>92</v>
      </c>
      <c r="H96" s="1" t="s">
        <v>92</v>
      </c>
      <c r="I96" s="1" t="s">
        <v>92</v>
      </c>
      <c r="J96" s="1">
        <v>342628000</v>
      </c>
      <c r="K96" s="1" t="s">
        <v>92</v>
      </c>
      <c r="L96" s="1">
        <v>46510000</v>
      </c>
      <c r="M96" s="1">
        <v>39931000</v>
      </c>
      <c r="T96" s="23" t="s">
        <v>137</v>
      </c>
      <c r="U96" s="35">
        <v>8.4000000000000005E-2</v>
      </c>
    </row>
    <row r="97" spans="1:21" ht="20" x14ac:dyDescent="0.25">
      <c r="A97" s="5" t="s">
        <v>82</v>
      </c>
      <c r="B97" s="1">
        <v>-9000</v>
      </c>
      <c r="C97" s="1" t="s">
        <v>92</v>
      </c>
      <c r="D97" s="1" t="s">
        <v>92</v>
      </c>
      <c r="E97" s="1" t="s">
        <v>92</v>
      </c>
      <c r="F97" s="1" t="s">
        <v>92</v>
      </c>
      <c r="G97" s="1" t="s">
        <v>92</v>
      </c>
      <c r="H97" s="1" t="s">
        <v>92</v>
      </c>
      <c r="I97" s="1" t="s">
        <v>92</v>
      </c>
      <c r="J97" s="1" t="s">
        <v>92</v>
      </c>
      <c r="K97" s="1" t="s">
        <v>92</v>
      </c>
      <c r="L97" s="1" t="s">
        <v>92</v>
      </c>
      <c r="M97" s="1" t="s">
        <v>92</v>
      </c>
      <c r="T97" s="33" t="s">
        <v>138</v>
      </c>
      <c r="U97" s="34">
        <f>(U94)+((U95)*(U96-U94))</f>
        <v>0.10905940500000001</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1" t="s">
        <v>139</v>
      </c>
      <c r="U98" s="62"/>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23" t="s">
        <v>140</v>
      </c>
      <c r="U99" s="24">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31" t="s">
        <v>141</v>
      </c>
      <c r="U100" s="32">
        <f>U99/U103</f>
        <v>3.2167669299210194E-2</v>
      </c>
    </row>
    <row r="101" spans="1:21" ht="20" x14ac:dyDescent="0.25">
      <c r="A101" s="5" t="s">
        <v>86</v>
      </c>
      <c r="B101" s="1" t="s">
        <v>92</v>
      </c>
      <c r="C101" s="1">
        <v>-10000</v>
      </c>
      <c r="D101" s="1">
        <v>10000</v>
      </c>
      <c r="E101" s="1">
        <v>-415000</v>
      </c>
      <c r="F101" s="1">
        <v>-553000</v>
      </c>
      <c r="G101" s="1">
        <v>-760000</v>
      </c>
      <c r="H101" s="1">
        <v>2755000</v>
      </c>
      <c r="I101" s="1">
        <v>-2069000</v>
      </c>
      <c r="J101" s="1">
        <v>-720000</v>
      </c>
      <c r="K101" s="1">
        <v>6831000</v>
      </c>
      <c r="L101" s="1">
        <v>-8861000</v>
      </c>
      <c r="M101" s="1">
        <v>-6811000</v>
      </c>
      <c r="T101" s="23" t="s">
        <v>142</v>
      </c>
      <c r="U101" s="36" cm="1">
        <f t="array" ref="U101">_FV(A1,"Market cap",TRUE)</f>
        <v>24260413350</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31" t="s">
        <v>143</v>
      </c>
      <c r="U102" s="32">
        <f>U101/U103</f>
        <v>0.96783233070078978</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33" t="s">
        <v>144</v>
      </c>
      <c r="U103" s="37">
        <f>U99+U101</f>
        <v>25066752350</v>
      </c>
    </row>
    <row r="104" spans="1:21" ht="19" x14ac:dyDescent="0.25">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61" t="s">
        <v>145</v>
      </c>
      <c r="U104" s="62"/>
    </row>
    <row r="105" spans="1:21" ht="20" x14ac:dyDescent="0.25">
      <c r="A105" s="14" t="s">
        <v>107</v>
      </c>
      <c r="B105" s="1"/>
      <c r="C105" s="15">
        <f>(C106/B106)-1</f>
        <v>-0.45466363340916482</v>
      </c>
      <c r="D105" s="15">
        <f>(D106/C106)-1</f>
        <v>2.3120381406436232</v>
      </c>
      <c r="E105" s="15">
        <f>(E106/D106)-1</f>
        <v>-0.1203397149848856</v>
      </c>
      <c r="F105" s="15">
        <f>(F106/E106)-1</f>
        <v>-0.46146293568973984</v>
      </c>
      <c r="G105" s="15">
        <f t="shared" ref="G105:M105" si="8">(G106/F106)-1</f>
        <v>-0.83500455788514127</v>
      </c>
      <c r="H105" s="15">
        <f t="shared" si="8"/>
        <v>-11.25184162062615</v>
      </c>
      <c r="I105" s="15">
        <f t="shared" si="8"/>
        <v>1.3073606682534691</v>
      </c>
      <c r="J105" s="15">
        <f t="shared" si="8"/>
        <v>0.26760481139787462</v>
      </c>
      <c r="K105" s="15">
        <f t="shared" si="8"/>
        <v>-0.53874737052221044</v>
      </c>
      <c r="L105" s="15">
        <f t="shared" si="8"/>
        <v>4.8875832223701732</v>
      </c>
      <c r="M105" s="15">
        <f t="shared" si="8"/>
        <v>8.2210524530286211E-2</v>
      </c>
      <c r="N105" s="63">
        <v>286200000</v>
      </c>
      <c r="O105" s="63">
        <v>359500000</v>
      </c>
      <c r="P105" s="63">
        <v>454700000</v>
      </c>
      <c r="Q105" s="63">
        <v>553900000</v>
      </c>
      <c r="R105" s="63">
        <v>778800000</v>
      </c>
      <c r="S105" s="15"/>
      <c r="T105" s="25" t="s">
        <v>108</v>
      </c>
      <c r="U105" s="26">
        <f>(U100*U92)+(U102*U97)</f>
        <v>0.10571284736308874</v>
      </c>
    </row>
    <row r="106" spans="1:21" ht="19" x14ac:dyDescent="0.25">
      <c r="A106" s="5" t="s">
        <v>90</v>
      </c>
      <c r="B106" s="1">
        <v>-15385000</v>
      </c>
      <c r="C106" s="1">
        <v>-8390000</v>
      </c>
      <c r="D106" s="1">
        <v>-27788000</v>
      </c>
      <c r="E106" s="1">
        <v>-24444000</v>
      </c>
      <c r="F106" s="1">
        <v>-13164000</v>
      </c>
      <c r="G106" s="1">
        <v>-2172000</v>
      </c>
      <c r="H106" s="1">
        <v>22267000</v>
      </c>
      <c r="I106" s="1">
        <v>51378000</v>
      </c>
      <c r="J106" s="1">
        <v>65127000</v>
      </c>
      <c r="K106" s="1">
        <v>30040000</v>
      </c>
      <c r="L106" s="1">
        <v>176863000</v>
      </c>
      <c r="M106" s="1">
        <v>191403000</v>
      </c>
      <c r="N106" s="54">
        <f>M106*(1+$U$106)</f>
        <v>230811411.76838955</v>
      </c>
      <c r="O106" s="54">
        <f t="shared" ref="O106:R106" si="9">N106*(1+$U$106)</f>
        <v>278333713.69579929</v>
      </c>
      <c r="P106" s="54">
        <f t="shared" si="9"/>
        <v>335640493.62270278</v>
      </c>
      <c r="Q106" s="54">
        <f t="shared" si="9"/>
        <v>404746300.63110387</v>
      </c>
      <c r="R106" s="54">
        <f t="shared" si="9"/>
        <v>488080464.02981198</v>
      </c>
      <c r="S106" s="38" t="s">
        <v>146</v>
      </c>
      <c r="T106" s="39" t="s">
        <v>147</v>
      </c>
      <c r="U106" s="40">
        <f>(SUM(N4:R4)/5)</f>
        <v>0.20589234112521523</v>
      </c>
    </row>
    <row r="107" spans="1:21" ht="19" x14ac:dyDescent="0.25">
      <c r="A107" s="5"/>
      <c r="B107" s="13"/>
      <c r="C107" s="13"/>
      <c r="D107" s="13"/>
      <c r="E107" s="13"/>
      <c r="F107" s="13"/>
      <c r="G107" s="13"/>
      <c r="H107" s="13"/>
      <c r="I107" s="13"/>
      <c r="J107" s="13"/>
      <c r="K107" s="13"/>
      <c r="L107" s="13"/>
      <c r="M107" s="13"/>
      <c r="N107" s="38"/>
      <c r="O107" s="38"/>
      <c r="P107" s="38"/>
      <c r="Q107" s="38"/>
      <c r="R107" s="64">
        <f>R105*(1+U107)/(U108-U107)</f>
        <v>9890247043.4348907</v>
      </c>
      <c r="S107" s="42" t="s">
        <v>148</v>
      </c>
      <c r="T107" s="43" t="s">
        <v>149</v>
      </c>
      <c r="U107" s="44">
        <v>2.5000000000000001E-2</v>
      </c>
    </row>
    <row r="108" spans="1:21" ht="19" x14ac:dyDescent="0.25">
      <c r="N108" s="41">
        <f t="shared" ref="N108:P108" si="10">N107+N106</f>
        <v>230811411.76838955</v>
      </c>
      <c r="O108" s="41">
        <f t="shared" si="10"/>
        <v>278333713.69579929</v>
      </c>
      <c r="P108" s="41">
        <f t="shared" si="10"/>
        <v>335640493.62270278</v>
      </c>
      <c r="Q108" s="41">
        <f>Q107+Q106</f>
        <v>404746300.63110387</v>
      </c>
      <c r="R108" s="64">
        <f>R107+R105</f>
        <v>10669047043.434891</v>
      </c>
      <c r="S108" s="42" t="s">
        <v>144</v>
      </c>
      <c r="T108" s="45" t="s">
        <v>150</v>
      </c>
      <c r="U108" s="46">
        <f>U105</f>
        <v>0.10571284736308874</v>
      </c>
    </row>
    <row r="109" spans="1:21" ht="19" x14ac:dyDescent="0.25">
      <c r="N109" s="57" t="s">
        <v>151</v>
      </c>
      <c r="O109" s="58"/>
    </row>
    <row r="110" spans="1:21" ht="20" x14ac:dyDescent="0.25">
      <c r="N110" s="47" t="s">
        <v>152</v>
      </c>
      <c r="O110" s="36">
        <f>NPV(U108,N108,O108,P108,Q108,R108)</f>
        <v>7410724388.2947617</v>
      </c>
    </row>
    <row r="111" spans="1:21" ht="20" x14ac:dyDescent="0.25">
      <c r="N111" s="47" t="s">
        <v>153</v>
      </c>
      <c r="O111" s="36">
        <f>M40</f>
        <v>1412684000</v>
      </c>
    </row>
    <row r="112" spans="1:21" ht="20" x14ac:dyDescent="0.25">
      <c r="N112" s="47" t="s">
        <v>140</v>
      </c>
      <c r="O112" s="36">
        <f>U99</f>
        <v>806339000</v>
      </c>
    </row>
    <row r="113" spans="14:15" ht="20" x14ac:dyDescent="0.25">
      <c r="N113" s="47" t="s">
        <v>154</v>
      </c>
      <c r="O113" s="36">
        <f>O110+O111-O112</f>
        <v>8017069388.2947617</v>
      </c>
    </row>
    <row r="114" spans="14:15" ht="20" x14ac:dyDescent="0.25">
      <c r="N114" s="47" t="s">
        <v>155</v>
      </c>
      <c r="O114" s="48">
        <f>M34*(1+(5*S16))</f>
        <v>61324791.93938946</v>
      </c>
    </row>
    <row r="115" spans="14:15" ht="20" x14ac:dyDescent="0.25">
      <c r="N115" s="49" t="s">
        <v>156</v>
      </c>
      <c r="O115" s="50">
        <f>O113/O114</f>
        <v>130.73129373546763</v>
      </c>
    </row>
    <row r="116" spans="14:15" ht="20" x14ac:dyDescent="0.25">
      <c r="N116" s="47" t="s">
        <v>157</v>
      </c>
      <c r="O116" s="56" cm="1">
        <f t="array" ref="O116">_FV(A1,"Price")</f>
        <v>488.74</v>
      </c>
    </row>
    <row r="117" spans="14:15" ht="20" x14ac:dyDescent="0.25">
      <c r="N117" s="51" t="s">
        <v>158</v>
      </c>
      <c r="O117" s="52">
        <f>O115/O116-1</f>
        <v>-0.73251361923421943</v>
      </c>
    </row>
    <row r="118" spans="14:15" ht="20" x14ac:dyDescent="0.25">
      <c r="N118" s="51" t="s">
        <v>159</v>
      </c>
      <c r="O118" s="53"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2023-03-12T18:54:39Z</dcterms:created>
  <dcterms:modified xsi:type="dcterms:W3CDTF">2023-05-26T06:56:32Z</dcterms:modified>
</cp:coreProperties>
</file>