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5B17D65-7F40-E849-83FB-968D048560D2}" xr6:coauthVersionLast="47" xr6:coauthVersionMax="47" xr10:uidLastSave="{00000000-0000-0000-0000-000000000000}"/>
  <bookViews>
    <workbookView xWindow="0" yWindow="500" windowWidth="277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1" l="1" a="1"/>
  <c r="H116" i="1" s="1"/>
  <c r="H114" i="1"/>
  <c r="H111" i="1"/>
  <c r="N101" i="1" a="1"/>
  <c r="N101" i="1" s="1"/>
  <c r="N95" i="1" a="1"/>
  <c r="N95" i="1" s="1"/>
  <c r="N97" i="1" s="1"/>
  <c r="N90" i="1"/>
  <c r="N89" i="1"/>
  <c r="N91" i="1" s="1"/>
  <c r="N87" i="1"/>
  <c r="N86" i="1"/>
  <c r="N99" i="1" s="1"/>
  <c r="N85" i="1"/>
  <c r="N88" i="1" s="1"/>
  <c r="N92" i="1" s="1"/>
  <c r="L19" i="1"/>
  <c r="L16" i="1"/>
  <c r="O13" i="1"/>
  <c r="N13" i="1"/>
  <c r="M13" i="1"/>
  <c r="L13" i="1"/>
  <c r="O10" i="1"/>
  <c r="N10" i="1"/>
  <c r="M10" i="1"/>
  <c r="L10" i="1"/>
  <c r="O7" i="1"/>
  <c r="N7" i="1"/>
  <c r="M7" i="1"/>
  <c r="L7" i="1"/>
  <c r="O4" i="1"/>
  <c r="N4" i="1"/>
  <c r="M4" i="1"/>
  <c r="L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N106" i="1" l="1"/>
  <c r="G106" i="1" s="1"/>
  <c r="G108" i="1" s="1"/>
  <c r="N16" i="1"/>
  <c r="M16" i="1"/>
  <c r="O16" i="1"/>
  <c r="N103" i="1"/>
  <c r="N102" i="1" s="1"/>
  <c r="H112" i="1"/>
  <c r="N100" i="1" l="1"/>
  <c r="N105" i="1" s="1"/>
  <c r="N108" i="1" s="1"/>
  <c r="H106" i="1"/>
  <c r="I106" i="1"/>
  <c r="H108" i="1"/>
  <c r="I108" i="1" l="1"/>
  <c r="J106" i="1"/>
  <c r="J108" i="1" l="1"/>
  <c r="K106" i="1"/>
  <c r="K107" i="1" s="1"/>
  <c r="K108" i="1" s="1"/>
  <c r="H110" i="1" l="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<sst xmlns="http://schemas.openxmlformats.org/spreadsheetml/2006/main" count="295" uniqueCount="160">
  <si>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</si>
  <si>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</si>
  <si>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</si>
  <si>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</si>
  <si>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</si>
  <si>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</si>
  <si>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</si>
  <si>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</si>
  <si>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</si>
  <si>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</si>
  <si>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</si>
  <si>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</si>
  <si>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</si>
  <si>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</si>
  <si>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</si>
  <si>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</si>
  <si>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</si>
  <si>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</si>
  <si>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</si>
  <si>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</si>
  <si>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</si>
  <si>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</si>
  <si>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</si>
  <si>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</si>
  <si>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</si>
  <si>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</si>
  <si>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</si>
  <si>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</si>
  <si>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</si>
  <si>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</si>
  <si>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</si>
  <si>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</si>
  <si>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</si>
  <si>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</si>
  <si>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</si>
  <si>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</si>
  <si>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</si>
  <si>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</si>
  <si>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</si>
  <si>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</si>
  <si>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</si>
  <si>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</si>
  <si>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</si>
  <si>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</si>
  <si>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</si>
  <si>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</si>
  <si>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</si>
  <si>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</si>
  <si>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</si>
  <si>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</si>
  <si>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</si>
  <si>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</si>
  <si>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</si>
  <si>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</si>
  <si>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</si>
  <si>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</si>
  <si>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</si>
  <si>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</si>
  <si>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</si>
  <si>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</si>
  <si>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</si>
  <si>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</si>
  <si>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</si>
  <si>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</si>
  <si>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</si>
  <si>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</si>
  <si>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</si>
  <si>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</si>
  <si>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</si>
  <si>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</si>
  <si>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</si>
  <si>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</si>
  <si>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</si>
  <si>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</si>
  <si>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</si>
  <si>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</si>
  <si>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</si>
  <si>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</si>
  <si>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</si>
  <si>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</si>
  <si>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</si>
  <si>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</si>
  <si>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</si>
  <si>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</si>
  <si>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</si>
  <si>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</si>
  <si>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</si>
  <si>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</si>
  <si>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</si>
  <si>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</si>
  <si>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</si>
  <si>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</si>
  <si>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</si>
  <si>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</si>
  <si>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</si>
  <si>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</si>
  <si>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</si>
  <si>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</si>
  <si>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</si>
  <si>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</si>
  <si>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</si>
  <si>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</si>
  <si>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</si>
  <si>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</si>
  <si>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</si>
  <si>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</si>
  <si>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</si>
  <si>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</si>
  <si>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</si>
  <si>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</si>
  <si>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</si>
  <si>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</si>
  <si>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</si>
  <si>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</si>
  <si>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</si>
  <si>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</si>
  <si>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</si>
  <si>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</si>
  <si>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</si>
  <si>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</si>
  <si>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</si>
  <si>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</si>
  <si>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</si>
  <si>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</si>
  <si>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</si>
  <si>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</si>
  <si>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</si>
  <si>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</si>
  <si>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</si>
  <si>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</si>
  <si>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</si>
  <si>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</si>
  <si>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</si>
  <si>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</si>
  <si>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</si>
  <si>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</si>
  <si>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</si>
  <si>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</si>
  <si>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</si>
  <si>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</si>
  <si>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</si>
  <si>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</si>
  <si>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</si>
  <si>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</si>
  <si>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</si>
  <si>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</si>
  <si>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</si>
  <si>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</si>
  <si>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</si>
  <si>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</si>
  <si>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</si>
  <si>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</si>
  <si>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</si>
  <si>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</si>
  <si>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</si>
  <si>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 (5% dilution)</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</si>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</sst>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800"/>
              <a:t>PD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31328083989501E-2"/>
          <c:y val="0.12533378700436501"/>
          <c:w val="0.83868671916010495"/>
          <c:h val="0.7523622830338934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79630000</c:v>
                </c:pt>
                <c:pt idx="1">
                  <c:v>117823000</c:v>
                </c:pt>
                <c:pt idx="2">
                  <c:v>166351000</c:v>
                </c:pt>
                <c:pt idx="3">
                  <c:v>213556000</c:v>
                </c:pt>
                <c:pt idx="4">
                  <c:v>281396000</c:v>
                </c:pt>
              </c:numCache>
            </c:numRef>
          </c:val>
          <c:extLst>
            <c:ext xmlns:c16="http://schemas.microsoft.com/office/drawing/2014/chart" uri="{C3380CC4-5D6E-409C-BE32-E72D297353CC}">
              <c16:uniqueId val="{00000000-5895-8A4A-AF5A-00F0B23E234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-35917000</c:v>
                </c:pt>
                <c:pt idx="1">
                  <c:v>-38348000</c:v>
                </c:pt>
                <c:pt idx="2">
                  <c:v>-47327000</c:v>
                </c:pt>
                <c:pt idx="3">
                  <c:v>-57574000</c:v>
                </c:pt>
                <c:pt idx="4">
                  <c:v>-103962000</c:v>
                </c:pt>
              </c:numCache>
            </c:numRef>
          </c:val>
          <c:extLst>
            <c:ext xmlns:c16="http://schemas.microsoft.com/office/drawing/2014/chart" uri="{C3380CC4-5D6E-409C-BE32-E72D297353CC}">
              <c16:uniqueId val="{00000001-5895-8A4A-AF5A-00F0B23E234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-12658000</c:v>
                </c:pt>
                <c:pt idx="1">
                  <c:v>-9727000</c:v>
                </c:pt>
                <c:pt idx="2">
                  <c:v>-5347000</c:v>
                </c:pt>
                <c:pt idx="3">
                  <c:v>5247000</c:v>
                </c:pt>
                <c:pt idx="4">
                  <c:v>-12831000</c:v>
                </c:pt>
              </c:numCache>
            </c:numRef>
          </c:val>
          <c:extLst>
            <c:ext xmlns:c16="http://schemas.microsoft.com/office/drawing/2014/chart" uri="{C3380CC4-5D6E-409C-BE32-E72D297353CC}">
              <c16:uniqueId val="{00000002-5895-8A4A-AF5A-00F0B23E2345}"/>
            </c:ext>
          </c:extLst>
        </c:ser>
        <c:dLbls>
          <c:showLegendKey val="0"/>
          <c:showVal val="0"/>
          <c:showCatName val="0"/>
          <c:showSerName val="0"/>
          <c:showPercent val="0"/>
          <c:showBubbleSize val="0"/>
        </c:dLbls>
        <c:gapWidth val="100"/>
        <c:overlap val="-24"/>
        <c:axId val="715171023"/>
        <c:axId val="316594719"/>
      </c:barChart>
      <c:catAx>
        <c:axId val="7151710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6594719"/>
        <c:crosses val="autoZero"/>
        <c:auto val="1"/>
        <c:lblAlgn val="ctr"/>
        <c:lblOffset val="100"/>
        <c:noMultiLvlLbl val="0"/>
      </c:catAx>
      <c:valAx>
        <c:axId val="31659471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5171023"/>
        <c:crosses val="autoZero"/>
        <c:crossBetween val="between"/>
      </c:valAx>
      <c:spPr>
        <a:noFill/>
        <a:ln>
          <a:noFill/>
        </a:ln>
        <a:effectLst/>
      </c:spPr>
    </c:plotArea>
    <c:legend>
      <c:legendPos val="b"/>
      <c:layout>
        <c:manualLayout>
          <c:xMode val="edge"/>
          <c:yMode val="edge"/>
          <c:x val="0.34187706036745408"/>
          <c:y val="0.91556855447731778"/>
          <c:w val="0.30557921259842519"/>
          <c:h val="4.74188838381152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54428</xdr:colOff>
      <xdr:row>108</xdr:row>
      <xdr:rowOff>25401</xdr:rowOff>
    </xdr:from>
    <xdr:to>
      <xdr:col>14</xdr:col>
      <xdr:colOff>0</xdr:colOff>
      <xdr:row>133</xdr:row>
      <xdr:rowOff>0</xdr:rowOff>
    </xdr:to>
    <xdr:graphicFrame macro="">
      <xdr:nvGraphicFramePr>
        <xdr:cNvPr id="2" name="Chart 1">
          <a:extLst>
            <a:ext uri="{FF2B5EF4-FFF2-40B4-BE49-F238E27FC236}">
              <a16:creationId xmlns:a16="http://schemas.microsoft.com/office/drawing/2014/main" id="{8897998A-8BFE-DFD7-89DC-65785B5429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https://www.bing.com/financeapi/forcetrigger?t=bpny1h&amp;q=XNYS%3aPD&amp;form=skydnc</v>
    <v>Learn more on Bing</v>
  </rv>
  <rv s="1">
    <v>0</v>
    <v>PAGERDUTY, INC. (XNYS:PD)</v>
    <v>2</v>
    <v>3</v>
    <v>Finance</v>
    <v>4</v>
    <v>en-US</v>
    <v>bpny1h</v>
    <v>268435456</v>
    <v>1</v>
    <v>Powered by Refinitiv</v>
    <v>35.33</v>
    <v>19.510000000000002</v>
    <v>0.92869999999999997</v>
    <v>-0.68</v>
    <v>-2.3136999999999998E-2</v>
    <v>0.13</v>
    <v>4.5279999999999999E-3</v>
    <v>USD</v>
    <v>PagerDuty, Inc. is a digital operations management platform that manages urgent and mission-critical work for a modern, digital business. The Company collects data and digital signals from virtually any software-enabled system or device and leverages machine learning to correlate, process, and predict opportunities and issues. It uses incident response, event management, and automation to bring together the right people with the right information so they can resolve issues and act on opportunities in minutes or seconds from wherever they are. The PagerDuty operations platform consists of the products, including PagerDuty Incident Response, PagerDuty Process Automation, PagerDuty Event Intelligence and PagerDuty for Customer Service. Its customers include Cisco, Genentech, Electronic Arts, Cox Automotive, Shopify, Zoom, DoorDash, and more. The Company’s subsidiaries include PagerDuty, Pty Ltd., PagerDuty, Ltd, PagerDuty, Inc., PagerDuty Switzerland GmbH and Catalytic, Inc.</v>
    <v>1166</v>
    <v>New York Stock Exchange</v>
    <v>XNYS</v>
    <v>XNYS</v>
    <v>600 Townsend St Ste 200E, SAN FRANCISCO, CA, 94103-5690 US</v>
    <v>29.6</v>
    <v>Software &amp; IT Services</v>
    <v>Stock</v>
    <v>45065.939973378903</v>
    <v>0</v>
    <v>28.36</v>
    <v>2643882080</v>
    <v>PAGERDUTY, INC.</v>
    <v>PAGERDUTY, INC.</v>
    <v>29.4</v>
    <v>29.39</v>
    <v>28.71</v>
    <v>28.84</v>
    <v>92089240</v>
    <v>PD</v>
    <v>PAGERDUTY, INC. (XNYS:PD)</v>
    <v>1350686</v>
    <v>1140969</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8100/000156810021000011/0001568100-21-000011-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568100/000156810020000013/0001568100-20-000013-index.html" TargetMode="External"/><Relationship Id="rId12" Type="http://schemas.openxmlformats.org/officeDocument/2006/relationships/hyperlink" Target="https://finbox.com/NYSE:PD/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PD" TargetMode="External"/><Relationship Id="rId6" Type="http://schemas.openxmlformats.org/officeDocument/2006/relationships/hyperlink" Target="https://www.sec.gov/Archives/edgar/data/1568100/000156810020000013/0001568100-20-000013-index.html" TargetMode="External"/><Relationship Id="rId11" Type="http://schemas.openxmlformats.org/officeDocument/2006/relationships/hyperlink" Target="https://www.sec.gov/Archives/edgar/data/1568100/000156810022000014/0001568100-22-000014-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568100/000156810022000014/0001568100-22-000014-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8100/000156810021000011/0001568100-21-00001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70" zoomScaleNormal="70" workbookViewId="0">
      <pane xSplit="1" ySplit="1" topLeftCell="C2" activePane="bottomRight" state="frozen"/>
      <selection pane="topRight"/>
      <selection pane="bottomLeft"/>
      <selection pane="bottomRight" activeCell="I21" sqref="I21"/>
    </sheetView>
  </sheetViews>
  <sheetFormatPr baseColWidth="10" defaultRowHeight="16" x14ac:dyDescent="0.2"/>
  <cols>
    <col min="1" max="1" width="50" customWidth="1"/>
    <col min="2" max="6" width="15" customWidth="1"/>
    <col min="7" max="15" width="20.83203125"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79630000</v>
      </c>
      <c r="C3" s="1">
        <v>117823000</v>
      </c>
      <c r="D3" s="1">
        <v>166351000</v>
      </c>
      <c r="E3" s="1">
        <v>213556000</v>
      </c>
      <c r="F3" s="1">
        <v>281396000</v>
      </c>
      <c r="G3" s="29">
        <v>448500000</v>
      </c>
      <c r="H3" s="29">
        <v>549500000</v>
      </c>
      <c r="I3" s="29">
        <v>677600000</v>
      </c>
      <c r="J3" s="29">
        <v>829000000</v>
      </c>
      <c r="K3" s="29">
        <v>1011000000</v>
      </c>
      <c r="L3" s="19" t="s">
        <v>109</v>
      </c>
      <c r="M3" s="20" t="s">
        <v>110</v>
      </c>
      <c r="N3" s="20" t="s">
        <v>111</v>
      </c>
      <c r="O3" s="20" t="s">
        <v>112</v>
      </c>
    </row>
    <row r="4" spans="1:38" ht="19" x14ac:dyDescent="0.25">
      <c r="A4" s="14" t="s">
        <v>94</v>
      </c>
      <c r="B4" s="1"/>
      <c r="C4" s="15">
        <f>(C3/B3)-1</f>
        <v>0.47963079241491902</v>
      </c>
      <c r="D4" s="15">
        <f>(D3/C3)-1</f>
        <v>0.41187204535616995</v>
      </c>
      <c r="E4" s="15">
        <f>(E3/D3)-1</f>
        <v>0.28376745556083227</v>
      </c>
      <c r="F4" s="15">
        <f t="shared" ref="F4:K4" si="0">(F3/E3)-1</f>
        <v>0.31766843357245866</v>
      </c>
      <c r="G4" s="16">
        <f t="shared" si="0"/>
        <v>0.59383928698346811</v>
      </c>
      <c r="H4" s="16">
        <f t="shared" si="0"/>
        <v>0.22519509476031208</v>
      </c>
      <c r="I4" s="16">
        <f t="shared" si="0"/>
        <v>0.2331210191082802</v>
      </c>
      <c r="J4" s="16">
        <f t="shared" si="0"/>
        <v>0.22343565525383702</v>
      </c>
      <c r="K4" s="16">
        <f t="shared" si="0"/>
        <v>0.21954161640530767</v>
      </c>
      <c r="L4" s="17">
        <f>(F4+E4+D4)/3</f>
        <v>0.33776931149648698</v>
      </c>
      <c r="M4" s="17">
        <f>(F20+E20+D20)/3</f>
        <v>0.41879033119672832</v>
      </c>
      <c r="N4" s="17">
        <f>(F29+E29+D29)/3</f>
        <v>0.38795888141887497</v>
      </c>
      <c r="O4" s="17">
        <f>(F105+E105+D105)/3</f>
        <v>-1.9589960976214567</v>
      </c>
      <c r="S4" s="16"/>
      <c r="T4" s="16"/>
      <c r="U4" s="16"/>
      <c r="V4" s="16"/>
      <c r="W4" s="16"/>
      <c r="X4" s="16"/>
      <c r="Y4" s="16"/>
      <c r="Z4" s="16"/>
      <c r="AA4" s="16"/>
      <c r="AB4" s="16"/>
      <c r="AC4" s="16"/>
      <c r="AD4" s="16"/>
      <c r="AE4" s="16"/>
      <c r="AF4" s="16"/>
      <c r="AI4" s="18"/>
      <c r="AJ4" s="18"/>
      <c r="AK4" s="18"/>
      <c r="AL4" s="18"/>
    </row>
    <row r="5" spans="1:38" ht="19" x14ac:dyDescent="0.25">
      <c r="A5" s="5" t="s">
        <v>2</v>
      </c>
      <c r="B5" s="1">
        <v>12717000</v>
      </c>
      <c r="C5" s="1">
        <v>17255000</v>
      </c>
      <c r="D5" s="1">
        <v>24579000</v>
      </c>
      <c r="E5" s="1">
        <v>30686000</v>
      </c>
      <c r="F5" s="1">
        <v>48361000</v>
      </c>
    </row>
    <row r="6" spans="1:38" ht="20" x14ac:dyDescent="0.25">
      <c r="A6" s="6" t="s">
        <v>3</v>
      </c>
      <c r="B6" s="10">
        <v>66913000</v>
      </c>
      <c r="C6" s="10">
        <v>100568000</v>
      </c>
      <c r="D6" s="10">
        <v>141772000</v>
      </c>
      <c r="E6" s="10">
        <v>182870000</v>
      </c>
      <c r="F6" s="10">
        <v>233035000</v>
      </c>
      <c r="L6" s="19" t="s">
        <v>113</v>
      </c>
      <c r="M6" s="20" t="s">
        <v>114</v>
      </c>
      <c r="N6" s="20" t="s">
        <v>115</v>
      </c>
      <c r="O6" s="20" t="s">
        <v>116</v>
      </c>
    </row>
    <row r="7" spans="1:38" ht="19" x14ac:dyDescent="0.25">
      <c r="A7" s="5" t="s">
        <v>4</v>
      </c>
      <c r="B7" s="2">
        <v>0.84030000000000005</v>
      </c>
      <c r="C7" s="2">
        <v>0.85360000000000003</v>
      </c>
      <c r="D7" s="2">
        <v>0.85219999999999996</v>
      </c>
      <c r="E7" s="2">
        <v>0.85629999999999995</v>
      </c>
      <c r="F7" s="2">
        <v>0.82809999999999995</v>
      </c>
      <c r="L7" s="17">
        <f>F7</f>
        <v>0.82809999999999995</v>
      </c>
      <c r="M7" s="21">
        <f>F21</f>
        <v>-0.3695</v>
      </c>
      <c r="N7" s="21">
        <f>F30</f>
        <v>-0.38190000000000002</v>
      </c>
      <c r="O7" s="21">
        <f>F106/F3</f>
        <v>-4.5597663079787916E-2</v>
      </c>
    </row>
    <row r="8" spans="1:38" ht="19" x14ac:dyDescent="0.25">
      <c r="A8" s="5" t="s">
        <v>5</v>
      </c>
      <c r="B8" s="1">
        <v>33532000</v>
      </c>
      <c r="C8" s="1">
        <v>38858000</v>
      </c>
      <c r="D8" s="1">
        <v>49011000</v>
      </c>
      <c r="E8" s="1">
        <v>64566000</v>
      </c>
      <c r="F8" s="1">
        <v>95690000</v>
      </c>
    </row>
    <row r="9" spans="1:38" ht="19" customHeight="1" x14ac:dyDescent="0.25">
      <c r="A9" s="14" t="s">
        <v>95</v>
      </c>
      <c r="B9" s="15">
        <f>B8/B3</f>
        <v>0.42109757629034283</v>
      </c>
      <c r="C9" s="15">
        <f t="shared" ref="C9:F9" si="1">C8/C3</f>
        <v>0.32979978442239632</v>
      </c>
      <c r="D9" s="15">
        <f t="shared" si="1"/>
        <v>0.29462401788988346</v>
      </c>
      <c r="E9" s="15">
        <f t="shared" si="1"/>
        <v>0.30233756017157093</v>
      </c>
      <c r="F9" s="15">
        <f t="shared" si="1"/>
        <v>0.34005458499765456</v>
      </c>
      <c r="G9" s="15"/>
      <c r="H9" s="15"/>
      <c r="L9" s="19" t="s">
        <v>96</v>
      </c>
      <c r="M9" s="20" t="s">
        <v>97</v>
      </c>
      <c r="N9" s="20" t="s">
        <v>98</v>
      </c>
      <c r="O9" s="20" t="s">
        <v>99</v>
      </c>
    </row>
    <row r="10" spans="1:38" ht="19" x14ac:dyDescent="0.25">
      <c r="A10" s="5" t="s">
        <v>6</v>
      </c>
      <c r="B10" s="1">
        <v>24343000</v>
      </c>
      <c r="C10" s="1">
        <v>39971000</v>
      </c>
      <c r="D10" s="1">
        <v>50970000</v>
      </c>
      <c r="E10" s="1">
        <v>62431000</v>
      </c>
      <c r="F10" s="1">
        <v>77432000</v>
      </c>
      <c r="L10" s="17">
        <f>F9</f>
        <v>0.34005458499765456</v>
      </c>
      <c r="M10" s="21">
        <f>F13</f>
        <v>0.84953588537150493</v>
      </c>
      <c r="N10" s="21">
        <f>F80</f>
        <v>0.24887702739200274</v>
      </c>
      <c r="O10" s="21">
        <f>F89</f>
        <v>1.2285178183058749E-2</v>
      </c>
    </row>
    <row r="11" spans="1:38" ht="19" x14ac:dyDescent="0.25">
      <c r="A11" s="5" t="s">
        <v>7</v>
      </c>
      <c r="B11" s="1">
        <v>47354000</v>
      </c>
      <c r="C11" s="1">
        <v>64060000</v>
      </c>
      <c r="D11" s="1">
        <v>97350000</v>
      </c>
      <c r="E11" s="1">
        <v>122155000</v>
      </c>
      <c r="F11" s="1">
        <v>161624000</v>
      </c>
    </row>
    <row r="12" spans="1:38" ht="20" x14ac:dyDescent="0.25">
      <c r="A12" s="5" t="s">
        <v>8</v>
      </c>
      <c r="B12" s="1">
        <v>71697000</v>
      </c>
      <c r="C12" s="1">
        <v>104031000</v>
      </c>
      <c r="D12" s="1">
        <v>148320000</v>
      </c>
      <c r="E12" s="1">
        <v>184586000</v>
      </c>
      <c r="F12" s="1">
        <v>239056000</v>
      </c>
      <c r="L12" s="19" t="s">
        <v>117</v>
      </c>
      <c r="M12" s="20" t="s">
        <v>118</v>
      </c>
      <c r="N12" s="20" t="s">
        <v>119</v>
      </c>
      <c r="O12" s="20" t="s">
        <v>120</v>
      </c>
    </row>
    <row r="13" spans="1:38" ht="19" x14ac:dyDescent="0.25">
      <c r="A13" s="14" t="s">
        <v>100</v>
      </c>
      <c r="B13" s="15">
        <f>B12/B3</f>
        <v>0.90037674243375609</v>
      </c>
      <c r="C13" s="15">
        <f t="shared" ref="C13:F13" si="2">C12/C3</f>
        <v>0.88294305865578027</v>
      </c>
      <c r="D13" s="15">
        <f t="shared" si="2"/>
        <v>0.89160870689085125</v>
      </c>
      <c r="E13" s="15">
        <f t="shared" si="2"/>
        <v>0.86434471520350631</v>
      </c>
      <c r="F13" s="15">
        <f t="shared" si="2"/>
        <v>0.84953588537150493</v>
      </c>
      <c r="G13" s="15"/>
      <c r="H13" s="15"/>
      <c r="L13" s="17">
        <f>F28/F72</f>
        <v>-0.40249086993164152</v>
      </c>
      <c r="M13" s="21">
        <f>F28/F54</f>
        <v>-0.13324479693669028</v>
      </c>
      <c r="N13" s="21">
        <f>F22/(F72+F56+F61)</f>
        <v>-0.18369963932300368</v>
      </c>
      <c r="O13" s="22">
        <f>F67/F72</f>
        <v>2.0206873302743702</v>
      </c>
    </row>
    <row r="14" spans="1:38" ht="19" x14ac:dyDescent="0.25">
      <c r="A14" s="5" t="s">
        <v>9</v>
      </c>
      <c r="B14" s="1" t="s">
        <v>92</v>
      </c>
      <c r="C14" s="1" t="s">
        <v>92</v>
      </c>
      <c r="D14" s="1" t="s">
        <v>92</v>
      </c>
      <c r="E14" s="1" t="s">
        <v>92</v>
      </c>
      <c r="F14" s="1" t="s">
        <v>92</v>
      </c>
    </row>
    <row r="15" spans="1:38" ht="20" x14ac:dyDescent="0.25">
      <c r="A15" s="5" t="s">
        <v>10</v>
      </c>
      <c r="B15" s="1">
        <v>105229000</v>
      </c>
      <c r="C15" s="1">
        <v>142889000</v>
      </c>
      <c r="D15" s="1">
        <v>197331000</v>
      </c>
      <c r="E15" s="1">
        <v>249152000</v>
      </c>
      <c r="F15" s="1">
        <v>334746000</v>
      </c>
      <c r="L15" s="19" t="s">
        <v>121</v>
      </c>
      <c r="M15" s="20" t="s">
        <v>122</v>
      </c>
      <c r="N15" s="20" t="s">
        <v>123</v>
      </c>
      <c r="O15" s="20" t="s">
        <v>124</v>
      </c>
    </row>
    <row r="16" spans="1:38" ht="19" x14ac:dyDescent="0.25">
      <c r="A16" s="5" t="s">
        <v>11</v>
      </c>
      <c r="B16" s="1">
        <v>117946000</v>
      </c>
      <c r="C16" s="1">
        <v>160144000</v>
      </c>
      <c r="D16" s="1">
        <v>221910000</v>
      </c>
      <c r="E16" s="1">
        <v>279838000</v>
      </c>
      <c r="F16" s="1">
        <v>383107000</v>
      </c>
      <c r="L16" s="30">
        <f>(F35+E35+D35+C35+B35)/5</f>
        <v>7.3282669822928873E-2</v>
      </c>
      <c r="M16" s="31">
        <f>N101/F3</f>
        <v>9.3955922614393952</v>
      </c>
      <c r="N16" s="31">
        <f>N101/F28</f>
        <v>-24.604551486668839</v>
      </c>
      <c r="O16" s="32">
        <f>N101/F106</f>
        <v>-206.05424986361157</v>
      </c>
    </row>
    <row r="17" spans="1:12" ht="19" x14ac:dyDescent="0.25">
      <c r="A17" s="5" t="s">
        <v>12</v>
      </c>
      <c r="B17" s="1">
        <v>702000</v>
      </c>
      <c r="C17" s="1" t="s">
        <v>92</v>
      </c>
      <c r="D17" s="1" t="s">
        <v>92</v>
      </c>
      <c r="E17" s="1">
        <v>9965000</v>
      </c>
      <c r="F17" s="1">
        <v>-5398000</v>
      </c>
    </row>
    <row r="18" spans="1:12" ht="20" x14ac:dyDescent="0.25">
      <c r="A18" s="5" t="s">
        <v>13</v>
      </c>
      <c r="B18" s="1">
        <v>1346000</v>
      </c>
      <c r="C18" s="1">
        <v>1692000</v>
      </c>
      <c r="D18" s="1">
        <v>2337000</v>
      </c>
      <c r="E18" s="1">
        <v>5270000</v>
      </c>
      <c r="F18" s="1">
        <v>8356000</v>
      </c>
      <c r="L18" s="19" t="s">
        <v>125</v>
      </c>
    </row>
    <row r="19" spans="1:12" ht="19" x14ac:dyDescent="0.25">
      <c r="A19" s="6" t="s">
        <v>14</v>
      </c>
      <c r="B19" s="10">
        <v>-35917000</v>
      </c>
      <c r="C19" s="10">
        <v>-38348000</v>
      </c>
      <c r="D19" s="10">
        <v>-47327000</v>
      </c>
      <c r="E19" s="10">
        <v>-57574000</v>
      </c>
      <c r="F19" s="10">
        <v>-103962000</v>
      </c>
      <c r="L19" s="33">
        <f>F40-F56-F61</f>
        <v>256650000</v>
      </c>
    </row>
    <row r="20" spans="1:12" ht="19" customHeight="1" x14ac:dyDescent="0.25">
      <c r="A20" s="14" t="s">
        <v>101</v>
      </c>
      <c r="B20" s="1"/>
      <c r="C20" s="15">
        <f>(C19/B19)-1</f>
        <v>6.7683826600217101E-2</v>
      </c>
      <c r="D20" s="15">
        <f>(D19/C19)-1</f>
        <v>0.23414519662042355</v>
      </c>
      <c r="E20" s="15">
        <f>(E19/D19)-1</f>
        <v>0.21651488579457823</v>
      </c>
      <c r="F20" s="15">
        <f t="shared" ref="F20" si="3">(F19/E19)-1</f>
        <v>0.80571091117518323</v>
      </c>
    </row>
    <row r="21" spans="1:12" ht="19" x14ac:dyDescent="0.25">
      <c r="A21" s="5" t="s">
        <v>15</v>
      </c>
      <c r="B21" s="2">
        <v>-0.45100000000000001</v>
      </c>
      <c r="C21" s="2">
        <v>-0.32550000000000001</v>
      </c>
      <c r="D21" s="2">
        <v>-0.28449999999999998</v>
      </c>
      <c r="E21" s="2">
        <v>-0.26960000000000001</v>
      </c>
      <c r="F21" s="2">
        <v>-0.3695</v>
      </c>
    </row>
    <row r="22" spans="1:12" ht="19" x14ac:dyDescent="0.25">
      <c r="A22" s="6" t="s">
        <v>16</v>
      </c>
      <c r="B22" s="10">
        <v>-38316000</v>
      </c>
      <c r="C22" s="10">
        <v>-42321000</v>
      </c>
      <c r="D22" s="10">
        <v>-55559000</v>
      </c>
      <c r="E22" s="10">
        <v>-66282000</v>
      </c>
      <c r="F22" s="10">
        <v>-101711000</v>
      </c>
    </row>
    <row r="23" spans="1:12" ht="19" x14ac:dyDescent="0.25">
      <c r="A23" s="5" t="s">
        <v>17</v>
      </c>
      <c r="B23" s="2">
        <v>-0.48120000000000002</v>
      </c>
      <c r="C23" s="2">
        <v>-0.35920000000000002</v>
      </c>
      <c r="D23" s="2">
        <v>-0.33400000000000002</v>
      </c>
      <c r="E23" s="2">
        <v>-0.31040000000000001</v>
      </c>
      <c r="F23" s="2">
        <v>-0.36149999999999999</v>
      </c>
    </row>
    <row r="24" spans="1:12" ht="19" x14ac:dyDescent="0.25">
      <c r="A24" s="5" t="s">
        <v>18</v>
      </c>
      <c r="B24" s="1">
        <v>351000</v>
      </c>
      <c r="C24" s="1">
        <v>2281000</v>
      </c>
      <c r="D24" s="1">
        <v>5895000</v>
      </c>
      <c r="E24" s="1">
        <v>-6527000</v>
      </c>
      <c r="F24" s="1">
        <v>-5209000</v>
      </c>
    </row>
    <row r="25" spans="1:12" ht="19" x14ac:dyDescent="0.25">
      <c r="A25" s="6" t="s">
        <v>19</v>
      </c>
      <c r="B25" s="10">
        <v>-37965000</v>
      </c>
      <c r="C25" s="10">
        <v>-40040000</v>
      </c>
      <c r="D25" s="10">
        <v>-49664000</v>
      </c>
      <c r="E25" s="10">
        <v>-72809000</v>
      </c>
      <c r="F25" s="10">
        <v>-106920000</v>
      </c>
    </row>
    <row r="26" spans="1:12" ht="19" x14ac:dyDescent="0.25">
      <c r="A26" s="5" t="s">
        <v>20</v>
      </c>
      <c r="B26" s="2">
        <v>-0.4768</v>
      </c>
      <c r="C26" s="2">
        <v>-0.33979999999999999</v>
      </c>
      <c r="D26" s="2">
        <v>-0.29849999999999999</v>
      </c>
      <c r="E26" s="2">
        <v>-0.34089999999999998</v>
      </c>
      <c r="F26" s="2">
        <v>-0.38</v>
      </c>
    </row>
    <row r="27" spans="1:12" ht="19" x14ac:dyDescent="0.25">
      <c r="A27" s="5" t="s">
        <v>21</v>
      </c>
      <c r="B27" s="1">
        <v>184000</v>
      </c>
      <c r="C27" s="1">
        <v>701000</v>
      </c>
      <c r="D27" s="1">
        <v>675000</v>
      </c>
      <c r="E27" s="1">
        <v>-3906000</v>
      </c>
      <c r="F27" s="1">
        <v>535000</v>
      </c>
    </row>
    <row r="28" spans="1:12" ht="20" thickBot="1" x14ac:dyDescent="0.3">
      <c r="A28" s="7" t="s">
        <v>22</v>
      </c>
      <c r="B28" s="11">
        <v>-38149000</v>
      </c>
      <c r="C28" s="11">
        <v>-40741000</v>
      </c>
      <c r="D28" s="11">
        <v>-50339000</v>
      </c>
      <c r="E28" s="11">
        <v>-68903000</v>
      </c>
      <c r="F28" s="11">
        <v>-107455000</v>
      </c>
    </row>
    <row r="29" spans="1:12" ht="20" customHeight="1" thickTop="1" x14ac:dyDescent="0.25">
      <c r="A29" s="14" t="s">
        <v>102</v>
      </c>
      <c r="B29" s="1"/>
      <c r="C29" s="15">
        <f>(C28/B28)-1</f>
        <v>6.7944113869301992E-2</v>
      </c>
      <c r="D29" s="15">
        <f>(D28/C28)-1</f>
        <v>0.23558577354507748</v>
      </c>
      <c r="E29" s="15">
        <f>(E28/D28)-1</f>
        <v>0.36877967381155763</v>
      </c>
      <c r="F29" s="15">
        <f>(F28/E28)-1</f>
        <v>0.55951119689998974</v>
      </c>
    </row>
    <row r="30" spans="1:12" ht="19" x14ac:dyDescent="0.25">
      <c r="A30" s="5" t="s">
        <v>23</v>
      </c>
      <c r="B30" s="2">
        <v>-0.47910000000000003</v>
      </c>
      <c r="C30" s="2">
        <v>-0.3458</v>
      </c>
      <c r="D30" s="2">
        <v>-0.30259999999999998</v>
      </c>
      <c r="E30" s="2">
        <v>-0.3226</v>
      </c>
      <c r="F30" s="2">
        <v>-0.38190000000000002</v>
      </c>
    </row>
    <row r="31" spans="1:12" ht="19" x14ac:dyDescent="0.25">
      <c r="A31" s="5" t="s">
        <v>24</v>
      </c>
      <c r="B31" s="12">
        <v>-0.63</v>
      </c>
      <c r="C31" s="12">
        <v>-0.68</v>
      </c>
      <c r="D31" s="12">
        <v>-0.77</v>
      </c>
      <c r="E31" s="12">
        <v>-0.87</v>
      </c>
      <c r="F31" s="12">
        <v>-1.27</v>
      </c>
    </row>
    <row r="32" spans="1:12" ht="19" x14ac:dyDescent="0.25">
      <c r="A32" s="5" t="s">
        <v>25</v>
      </c>
      <c r="B32" s="12">
        <v>-0.63</v>
      </c>
      <c r="C32" s="12">
        <v>-0.68</v>
      </c>
      <c r="D32" s="12">
        <v>-0.77</v>
      </c>
      <c r="E32" s="12">
        <v>-0.87</v>
      </c>
      <c r="F32" s="12">
        <v>-1.27</v>
      </c>
    </row>
    <row r="33" spans="1:6" ht="19" x14ac:dyDescent="0.25">
      <c r="A33" s="5" t="s">
        <v>26</v>
      </c>
      <c r="B33" s="1">
        <v>60121000</v>
      </c>
      <c r="C33" s="1">
        <v>60121000</v>
      </c>
      <c r="D33" s="1">
        <v>65544000</v>
      </c>
      <c r="E33" s="1">
        <v>79614000</v>
      </c>
      <c r="F33" s="1">
        <v>84514000</v>
      </c>
    </row>
    <row r="34" spans="1:6" ht="19" x14ac:dyDescent="0.25">
      <c r="A34" s="5" t="s">
        <v>27</v>
      </c>
      <c r="B34" s="1">
        <v>60121000</v>
      </c>
      <c r="C34" s="1">
        <v>60121000</v>
      </c>
      <c r="D34" s="1">
        <v>65544000</v>
      </c>
      <c r="E34" s="1">
        <v>79614000</v>
      </c>
      <c r="F34" s="1">
        <v>84514000</v>
      </c>
    </row>
    <row r="35" spans="1:6" ht="20" customHeight="1" x14ac:dyDescent="0.25">
      <c r="A35" s="14" t="s">
        <v>103</v>
      </c>
      <c r="B35" s="1"/>
      <c r="C35" s="23">
        <f>(C34-B34)/B34</f>
        <v>0</v>
      </c>
      <c r="D35" s="23">
        <f t="shared" ref="D35:F35" si="4">(D34-C34)/C34</f>
        <v>9.0201427121970698E-2</v>
      </c>
      <c r="E35" s="23">
        <f t="shared" si="4"/>
        <v>0.21466495789088247</v>
      </c>
      <c r="F35" s="23">
        <f t="shared" si="4"/>
        <v>6.1546964101791141E-2</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43999000</v>
      </c>
      <c r="C38" s="1">
        <v>127875000</v>
      </c>
      <c r="D38" s="1">
        <v>124024000</v>
      </c>
      <c r="E38" s="1">
        <v>339166000</v>
      </c>
      <c r="F38" s="1">
        <v>349785000</v>
      </c>
    </row>
    <row r="39" spans="1:6" ht="19" x14ac:dyDescent="0.25">
      <c r="A39" s="5" t="s">
        <v>31</v>
      </c>
      <c r="B39" s="1" t="s">
        <v>92</v>
      </c>
      <c r="C39" s="1" t="s">
        <v>92</v>
      </c>
      <c r="D39" s="1">
        <v>227375000</v>
      </c>
      <c r="E39" s="1">
        <v>221112000</v>
      </c>
      <c r="F39" s="1">
        <v>193571000</v>
      </c>
    </row>
    <row r="40" spans="1:6" ht="19" x14ac:dyDescent="0.25">
      <c r="A40" s="5" t="s">
        <v>32</v>
      </c>
      <c r="B40" s="1">
        <v>43999000</v>
      </c>
      <c r="C40" s="1">
        <v>127875000</v>
      </c>
      <c r="D40" s="1">
        <v>351399000</v>
      </c>
      <c r="E40" s="1">
        <v>560278000</v>
      </c>
      <c r="F40" s="1">
        <v>543356000</v>
      </c>
    </row>
    <row r="41" spans="1:6" ht="19" x14ac:dyDescent="0.25">
      <c r="A41" s="5" t="s">
        <v>33</v>
      </c>
      <c r="B41" s="1">
        <v>18888000</v>
      </c>
      <c r="C41" s="1">
        <v>32912000</v>
      </c>
      <c r="D41" s="1">
        <v>37128000</v>
      </c>
      <c r="E41" s="1">
        <v>55119000</v>
      </c>
      <c r="F41" s="1">
        <v>75279000</v>
      </c>
    </row>
    <row r="42" spans="1:6" ht="19" x14ac:dyDescent="0.25">
      <c r="A42" s="5" t="s">
        <v>34</v>
      </c>
      <c r="B42" s="1" t="s">
        <v>92</v>
      </c>
      <c r="C42" s="1" t="s">
        <v>92</v>
      </c>
      <c r="D42" s="1" t="s">
        <v>92</v>
      </c>
      <c r="E42" s="1" t="s">
        <v>92</v>
      </c>
      <c r="F42" s="1" t="s">
        <v>92</v>
      </c>
    </row>
    <row r="43" spans="1:6" ht="19" x14ac:dyDescent="0.25">
      <c r="A43" s="5" t="s">
        <v>35</v>
      </c>
      <c r="B43" s="1">
        <v>6925000</v>
      </c>
      <c r="C43" s="1">
        <v>12050000</v>
      </c>
      <c r="D43" s="1">
        <v>16464000</v>
      </c>
      <c r="E43" s="1">
        <v>22917000</v>
      </c>
      <c r="F43" s="1">
        <v>26449000</v>
      </c>
    </row>
    <row r="44" spans="1:6" ht="19" x14ac:dyDescent="0.25">
      <c r="A44" s="6" t="s">
        <v>36</v>
      </c>
      <c r="B44" s="10">
        <v>69812000</v>
      </c>
      <c r="C44" s="10">
        <v>172837000</v>
      </c>
      <c r="D44" s="10">
        <v>404991000</v>
      </c>
      <c r="E44" s="10">
        <v>638314000</v>
      </c>
      <c r="F44" s="10">
        <v>645084000</v>
      </c>
    </row>
    <row r="45" spans="1:6" ht="19" x14ac:dyDescent="0.25">
      <c r="A45" s="5" t="s">
        <v>37</v>
      </c>
      <c r="B45" s="1">
        <v>3271000</v>
      </c>
      <c r="C45" s="1">
        <v>5772000</v>
      </c>
      <c r="D45" s="1">
        <v>12369000</v>
      </c>
      <c r="E45" s="1">
        <v>37330000</v>
      </c>
      <c r="F45" s="1">
        <v>18229000</v>
      </c>
    </row>
    <row r="46" spans="1:6" ht="19" x14ac:dyDescent="0.25">
      <c r="A46" s="5" t="s">
        <v>38</v>
      </c>
      <c r="B46" s="1" t="s">
        <v>92</v>
      </c>
      <c r="C46" s="1" t="s">
        <v>92</v>
      </c>
      <c r="D46" s="1" t="s">
        <v>92</v>
      </c>
      <c r="E46" s="1">
        <v>72126000</v>
      </c>
      <c r="F46" s="1">
        <v>72126000</v>
      </c>
    </row>
    <row r="47" spans="1:6" ht="19" x14ac:dyDescent="0.25">
      <c r="A47" s="5" t="s">
        <v>39</v>
      </c>
      <c r="B47" s="1" t="s">
        <v>92</v>
      </c>
      <c r="C47" s="1" t="s">
        <v>92</v>
      </c>
      <c r="D47" s="1" t="s">
        <v>92</v>
      </c>
      <c r="E47" s="1">
        <v>26633000</v>
      </c>
      <c r="F47" s="1">
        <v>23133000</v>
      </c>
    </row>
    <row r="48" spans="1:6" ht="19" x14ac:dyDescent="0.25">
      <c r="A48" s="5" t="s">
        <v>40</v>
      </c>
      <c r="B48" s="1" t="s">
        <v>92</v>
      </c>
      <c r="C48" s="1" t="s">
        <v>92</v>
      </c>
      <c r="D48" s="1" t="s">
        <v>92</v>
      </c>
      <c r="E48" s="1">
        <v>98759000</v>
      </c>
      <c r="F48" s="1">
        <v>95259000</v>
      </c>
    </row>
    <row r="49" spans="1:6" ht="19" x14ac:dyDescent="0.25">
      <c r="A49" s="5" t="s">
        <v>41</v>
      </c>
      <c r="B49" s="1" t="s">
        <v>92</v>
      </c>
      <c r="C49" s="1" t="s">
        <v>92</v>
      </c>
      <c r="D49" s="1" t="s">
        <v>92</v>
      </c>
      <c r="E49" s="1" t="s">
        <v>92</v>
      </c>
      <c r="F49" s="1">
        <v>193571000</v>
      </c>
    </row>
    <row r="50" spans="1:6" ht="19" x14ac:dyDescent="0.25">
      <c r="A50" s="5" t="s">
        <v>42</v>
      </c>
      <c r="B50" s="1" t="s">
        <v>92</v>
      </c>
      <c r="C50" s="1" t="s">
        <v>92</v>
      </c>
      <c r="D50" s="1" t="s">
        <v>92</v>
      </c>
      <c r="E50" s="1" t="s">
        <v>92</v>
      </c>
      <c r="F50" s="1" t="s">
        <v>92</v>
      </c>
    </row>
    <row r="51" spans="1:6" ht="19" x14ac:dyDescent="0.25">
      <c r="A51" s="5" t="s">
        <v>43</v>
      </c>
      <c r="B51" s="1">
        <v>8285000</v>
      </c>
      <c r="C51" s="1">
        <v>18625000</v>
      </c>
      <c r="D51" s="1">
        <v>18038000</v>
      </c>
      <c r="E51" s="1">
        <v>21040000</v>
      </c>
      <c r="F51" s="1">
        <v>-145695000</v>
      </c>
    </row>
    <row r="52" spans="1:6" ht="19" x14ac:dyDescent="0.25">
      <c r="A52" s="5" t="s">
        <v>44</v>
      </c>
      <c r="B52" s="1">
        <v>11556000</v>
      </c>
      <c r="C52" s="1">
        <v>24397000</v>
      </c>
      <c r="D52" s="1">
        <v>30407000</v>
      </c>
      <c r="E52" s="1">
        <v>157129000</v>
      </c>
      <c r="F52" s="1">
        <v>161364000</v>
      </c>
    </row>
    <row r="53" spans="1:6" ht="19" x14ac:dyDescent="0.25">
      <c r="A53" s="5" t="s">
        <v>45</v>
      </c>
      <c r="B53" s="1" t="s">
        <v>92</v>
      </c>
      <c r="C53" s="1" t="s">
        <v>92</v>
      </c>
      <c r="D53" s="1" t="s">
        <v>92</v>
      </c>
      <c r="E53" s="1" t="s">
        <v>92</v>
      </c>
      <c r="F53" s="1" t="s">
        <v>92</v>
      </c>
    </row>
    <row r="54" spans="1:6" ht="20" thickBot="1" x14ac:dyDescent="0.3">
      <c r="A54" s="7" t="s">
        <v>46</v>
      </c>
      <c r="B54" s="11">
        <v>81368000</v>
      </c>
      <c r="C54" s="11">
        <v>197234000</v>
      </c>
      <c r="D54" s="11">
        <v>435398000</v>
      </c>
      <c r="E54" s="11">
        <v>795443000</v>
      </c>
      <c r="F54" s="11">
        <v>806448000</v>
      </c>
    </row>
    <row r="55" spans="1:6" ht="20" thickTop="1" x14ac:dyDescent="0.25">
      <c r="A55" s="5" t="s">
        <v>47</v>
      </c>
      <c r="B55" s="1">
        <v>4193000</v>
      </c>
      <c r="C55" s="1">
        <v>5603000</v>
      </c>
      <c r="D55" s="1">
        <v>6434000</v>
      </c>
      <c r="E55" s="1">
        <v>5747000</v>
      </c>
      <c r="F55" s="1">
        <v>9505000</v>
      </c>
    </row>
    <row r="56" spans="1:6" ht="19" x14ac:dyDescent="0.25">
      <c r="A56" s="5" t="s">
        <v>48</v>
      </c>
      <c r="B56" s="1" t="s">
        <v>92</v>
      </c>
      <c r="C56" s="1" t="s">
        <v>92</v>
      </c>
      <c r="D56" s="1" t="s">
        <v>92</v>
      </c>
      <c r="E56" s="1">
        <v>5262000</v>
      </c>
      <c r="F56" s="1">
        <v>5637000</v>
      </c>
    </row>
    <row r="57" spans="1:6" ht="19" x14ac:dyDescent="0.25">
      <c r="A57" s="5" t="s">
        <v>49</v>
      </c>
      <c r="B57" s="1" t="s">
        <v>92</v>
      </c>
      <c r="C57" s="1" t="s">
        <v>92</v>
      </c>
      <c r="D57" s="1" t="s">
        <v>92</v>
      </c>
      <c r="E57" s="1">
        <v>1350000</v>
      </c>
      <c r="F57" s="1" t="s">
        <v>92</v>
      </c>
    </row>
    <row r="58" spans="1:6" ht="19" x14ac:dyDescent="0.25">
      <c r="A58" s="5" t="s">
        <v>50</v>
      </c>
      <c r="B58" s="1">
        <v>36955000</v>
      </c>
      <c r="C58" s="1">
        <v>63957000</v>
      </c>
      <c r="D58" s="1">
        <v>87490000</v>
      </c>
      <c r="E58" s="1">
        <v>123686000</v>
      </c>
      <c r="F58" s="1">
        <v>162881000</v>
      </c>
    </row>
    <row r="59" spans="1:6" ht="19" x14ac:dyDescent="0.25">
      <c r="A59" s="5" t="s">
        <v>51</v>
      </c>
      <c r="B59" s="1">
        <v>9684000</v>
      </c>
      <c r="C59" s="1">
        <v>19249000</v>
      </c>
      <c r="D59" s="1">
        <v>21108000</v>
      </c>
      <c r="E59" s="1">
        <v>36649000</v>
      </c>
      <c r="F59" s="1">
        <v>48967000</v>
      </c>
    </row>
    <row r="60" spans="1:6" ht="19" x14ac:dyDescent="0.25">
      <c r="A60" s="6" t="s">
        <v>52</v>
      </c>
      <c r="B60" s="10">
        <v>50832000</v>
      </c>
      <c r="C60" s="10">
        <v>88809000</v>
      </c>
      <c r="D60" s="10">
        <v>115032000</v>
      </c>
      <c r="E60" s="10">
        <v>172694000</v>
      </c>
      <c r="F60" s="10">
        <v>226990000</v>
      </c>
    </row>
    <row r="61" spans="1:6" ht="19" x14ac:dyDescent="0.25">
      <c r="A61" s="5" t="s">
        <v>53</v>
      </c>
      <c r="B61" s="1" t="s">
        <v>92</v>
      </c>
      <c r="C61" s="1" t="s">
        <v>92</v>
      </c>
      <c r="D61" s="1" t="s">
        <v>92</v>
      </c>
      <c r="E61" s="1">
        <v>244070000</v>
      </c>
      <c r="F61" s="1">
        <v>281069000</v>
      </c>
    </row>
    <row r="62" spans="1:6" ht="19" x14ac:dyDescent="0.25">
      <c r="A62" s="5" t="s">
        <v>50</v>
      </c>
      <c r="B62" s="1">
        <v>1214000</v>
      </c>
      <c r="C62" s="1">
        <v>147000</v>
      </c>
      <c r="D62" s="1">
        <v>5079000</v>
      </c>
      <c r="E62" s="1">
        <v>6286000</v>
      </c>
      <c r="F62" s="1">
        <v>7343000</v>
      </c>
    </row>
    <row r="63" spans="1:6" ht="19" x14ac:dyDescent="0.25">
      <c r="A63" s="5" t="s">
        <v>54</v>
      </c>
      <c r="B63" s="1" t="s">
        <v>92</v>
      </c>
      <c r="C63" s="1" t="s">
        <v>92</v>
      </c>
      <c r="D63" s="1" t="s">
        <v>92</v>
      </c>
      <c r="E63" s="1" t="s">
        <v>92</v>
      </c>
      <c r="F63" s="1" t="s">
        <v>92</v>
      </c>
    </row>
    <row r="64" spans="1:6" ht="19" x14ac:dyDescent="0.25">
      <c r="A64" s="5" t="s">
        <v>55</v>
      </c>
      <c r="B64" s="1">
        <v>85687000</v>
      </c>
      <c r="C64" s="1">
        <v>4185000</v>
      </c>
      <c r="D64" s="1">
        <v>7349000</v>
      </c>
      <c r="E64" s="1">
        <v>5666000</v>
      </c>
      <c r="F64" s="1">
        <v>24071000</v>
      </c>
    </row>
    <row r="65" spans="1:6" ht="19" x14ac:dyDescent="0.25">
      <c r="A65" s="5" t="s">
        <v>56</v>
      </c>
      <c r="B65" s="1">
        <v>86901000</v>
      </c>
      <c r="C65" s="1">
        <v>4332000</v>
      </c>
      <c r="D65" s="1">
        <v>12428000</v>
      </c>
      <c r="E65" s="1">
        <v>256022000</v>
      </c>
      <c r="F65" s="1">
        <v>312483000</v>
      </c>
    </row>
    <row r="66" spans="1:6" ht="19" x14ac:dyDescent="0.25">
      <c r="A66" s="5" t="s">
        <v>57</v>
      </c>
      <c r="B66" s="1" t="s">
        <v>92</v>
      </c>
      <c r="C66" s="1" t="s">
        <v>92</v>
      </c>
      <c r="D66" s="1" t="s">
        <v>92</v>
      </c>
      <c r="E66" s="1" t="s">
        <v>92</v>
      </c>
      <c r="F66" s="1" t="s">
        <v>92</v>
      </c>
    </row>
    <row r="67" spans="1:6" ht="19" x14ac:dyDescent="0.25">
      <c r="A67" s="6" t="s">
        <v>58</v>
      </c>
      <c r="B67" s="10">
        <v>137733000</v>
      </c>
      <c r="C67" s="10">
        <v>93141000</v>
      </c>
      <c r="D67" s="10">
        <v>127460000</v>
      </c>
      <c r="E67" s="10">
        <v>428716000</v>
      </c>
      <c r="F67" s="10">
        <v>539473000</v>
      </c>
    </row>
    <row r="68" spans="1:6" ht="19" x14ac:dyDescent="0.25">
      <c r="A68" s="5" t="s">
        <v>59</v>
      </c>
      <c r="B68" s="1" t="s">
        <v>92</v>
      </c>
      <c r="C68" s="1" t="s">
        <v>92</v>
      </c>
      <c r="D68" s="1" t="s">
        <v>92</v>
      </c>
      <c r="E68" s="1" t="s">
        <v>92</v>
      </c>
      <c r="F68" s="1" t="s">
        <v>92</v>
      </c>
    </row>
    <row r="69" spans="1:6" ht="19" x14ac:dyDescent="0.25">
      <c r="A69" s="5" t="s">
        <v>60</v>
      </c>
      <c r="B69" s="1">
        <v>-88127000</v>
      </c>
      <c r="C69" s="1">
        <v>-128868000</v>
      </c>
      <c r="D69" s="1">
        <v>-179207000</v>
      </c>
      <c r="E69" s="1">
        <v>-248110000</v>
      </c>
      <c r="F69" s="1">
        <v>-348823000</v>
      </c>
    </row>
    <row r="70" spans="1:6" ht="19" x14ac:dyDescent="0.25">
      <c r="A70" s="5" t="s">
        <v>61</v>
      </c>
      <c r="B70" s="1">
        <v>-3725000</v>
      </c>
      <c r="C70" s="1">
        <v>-5366000</v>
      </c>
      <c r="D70" s="1">
        <v>-7248000</v>
      </c>
      <c r="E70" s="1">
        <v>343000</v>
      </c>
      <c r="F70" s="1">
        <v>-669000</v>
      </c>
    </row>
    <row r="71" spans="1:6" ht="19" x14ac:dyDescent="0.25">
      <c r="A71" s="5" t="s">
        <v>62</v>
      </c>
      <c r="B71" s="1">
        <v>35487000</v>
      </c>
      <c r="C71" s="1">
        <v>238327000</v>
      </c>
      <c r="D71" s="1">
        <v>494393000</v>
      </c>
      <c r="E71" s="1">
        <v>614494000</v>
      </c>
      <c r="F71" s="1">
        <v>616467000</v>
      </c>
    </row>
    <row r="72" spans="1:6" ht="19" x14ac:dyDescent="0.25">
      <c r="A72" s="6" t="s">
        <v>63</v>
      </c>
      <c r="B72" s="10">
        <v>-56365000</v>
      </c>
      <c r="C72" s="10">
        <v>104093000</v>
      </c>
      <c r="D72" s="10">
        <v>307938000</v>
      </c>
      <c r="E72" s="10">
        <v>366727000</v>
      </c>
      <c r="F72" s="10">
        <v>266975000</v>
      </c>
    </row>
    <row r="73" spans="1:6" ht="20" thickBot="1" x14ac:dyDescent="0.3">
      <c r="A73" s="7" t="s">
        <v>64</v>
      </c>
      <c r="B73" s="11">
        <v>81368000</v>
      </c>
      <c r="C73" s="11">
        <v>197234000</v>
      </c>
      <c r="D73" s="11">
        <v>435398000</v>
      </c>
      <c r="E73" s="11">
        <v>795443000</v>
      </c>
      <c r="F73" s="11">
        <v>806448000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-38149000</v>
      </c>
      <c r="C76" s="1">
        <v>-40741000</v>
      </c>
      <c r="D76" s="1">
        <v>-50339000</v>
      </c>
      <c r="E76" s="1">
        <v>-68903000</v>
      </c>
      <c r="F76" s="1">
        <v>-107455000</v>
      </c>
    </row>
    <row r="77" spans="1:6" ht="19" x14ac:dyDescent="0.25">
      <c r="A77" s="5" t="s">
        <v>13</v>
      </c>
      <c r="B77" s="1">
        <v>1346000</v>
      </c>
      <c r="C77" s="1">
        <v>1692000</v>
      </c>
      <c r="D77" s="1">
        <v>2337000</v>
      </c>
      <c r="E77" s="1">
        <v>5270000</v>
      </c>
      <c r="F77" s="1">
        <v>8356000</v>
      </c>
    </row>
    <row r="78" spans="1:6" ht="19" x14ac:dyDescent="0.25">
      <c r="A78" s="5" t="s">
        <v>67</v>
      </c>
      <c r="B78" s="1" t="s">
        <v>92</v>
      </c>
      <c r="C78" s="1" t="s">
        <v>92</v>
      </c>
      <c r="D78" s="1" t="s">
        <v>92</v>
      </c>
      <c r="E78" s="1" t="s">
        <v>92</v>
      </c>
      <c r="F78" s="1" t="s">
        <v>92</v>
      </c>
    </row>
    <row r="79" spans="1:6" ht="19" x14ac:dyDescent="0.25">
      <c r="A79" s="5" t="s">
        <v>68</v>
      </c>
      <c r="B79" s="1">
        <v>18152000</v>
      </c>
      <c r="C79" s="1">
        <v>19078000</v>
      </c>
      <c r="D79" s="1">
        <v>27205000</v>
      </c>
      <c r="E79" s="1">
        <v>43231000</v>
      </c>
      <c r="F79" s="1">
        <v>70033000</v>
      </c>
    </row>
    <row r="80" spans="1:6" ht="19" x14ac:dyDescent="0.25">
      <c r="A80" s="14" t="s">
        <v>104</v>
      </c>
      <c r="B80" s="15">
        <f>B79/B3</f>
        <v>0.22795428858470426</v>
      </c>
      <c r="C80" s="15">
        <f>C79/C3</f>
        <v>0.16192084737275406</v>
      </c>
      <c r="D80" s="15">
        <f>D79/D3</f>
        <v>0.16353974427565809</v>
      </c>
      <c r="E80" s="15">
        <f>E79/E3</f>
        <v>0.20243402198954841</v>
      </c>
      <c r="F80" s="15">
        <f>F79/F3</f>
        <v>0.24887702739200274</v>
      </c>
    </row>
    <row r="81" spans="1:14" ht="19" x14ac:dyDescent="0.25">
      <c r="A81" s="5" t="s">
        <v>69</v>
      </c>
      <c r="B81" s="1">
        <v>2175000</v>
      </c>
      <c r="C81" s="1">
        <v>2211000</v>
      </c>
      <c r="D81" s="1">
        <v>13175000</v>
      </c>
      <c r="E81" s="1">
        <v>4796000</v>
      </c>
      <c r="F81" s="1">
        <v>-1917000</v>
      </c>
    </row>
    <row r="82" spans="1:14" ht="19" x14ac:dyDescent="0.25">
      <c r="A82" s="5" t="s">
        <v>70</v>
      </c>
      <c r="B82" s="1">
        <v>-10145000</v>
      </c>
      <c r="C82" s="1">
        <v>-15464000</v>
      </c>
      <c r="D82" s="1">
        <v>-3601000</v>
      </c>
      <c r="E82" s="1">
        <v>-17637000</v>
      </c>
      <c r="F82" s="1">
        <v>-21594000</v>
      </c>
    </row>
    <row r="83" spans="1:14" ht="21" x14ac:dyDescent="0.25">
      <c r="A83" s="5" t="s">
        <v>34</v>
      </c>
      <c r="B83" s="1" t="s">
        <v>92</v>
      </c>
      <c r="C83" s="1" t="s">
        <v>92</v>
      </c>
      <c r="D83" s="1" t="s">
        <v>92</v>
      </c>
      <c r="E83" s="1" t="s">
        <v>92</v>
      </c>
      <c r="F83" s="1" t="s">
        <v>92</v>
      </c>
      <c r="M83" s="62" t="s">
        <v>126</v>
      </c>
      <c r="N83" s="63"/>
    </row>
    <row r="84" spans="1:14" ht="19" x14ac:dyDescent="0.25">
      <c r="A84" s="5" t="s">
        <v>47</v>
      </c>
      <c r="B84" s="1">
        <v>2501000</v>
      </c>
      <c r="C84" s="1">
        <v>1356000</v>
      </c>
      <c r="D84" s="1">
        <v>-1110000</v>
      </c>
      <c r="E84" s="1">
        <v>316000</v>
      </c>
      <c r="F84" s="1">
        <v>2901000</v>
      </c>
      <c r="M84" s="64" t="s">
        <v>127</v>
      </c>
      <c r="N84" s="65"/>
    </row>
    <row r="85" spans="1:14" ht="20" x14ac:dyDescent="0.25">
      <c r="A85" s="5" t="s">
        <v>71</v>
      </c>
      <c r="B85" s="1">
        <v>12414000</v>
      </c>
      <c r="C85" s="1">
        <v>17302000</v>
      </c>
      <c r="D85" s="1">
        <v>16330000</v>
      </c>
      <c r="E85" s="1">
        <v>29031000</v>
      </c>
      <c r="F85" s="1">
        <v>20851000</v>
      </c>
      <c r="M85" s="24" t="s">
        <v>128</v>
      </c>
      <c r="N85" s="25">
        <f>F17</f>
        <v>-5398000</v>
      </c>
    </row>
    <row r="86" spans="1:14" ht="20" x14ac:dyDescent="0.25">
      <c r="A86" s="5" t="s">
        <v>72</v>
      </c>
      <c r="B86" s="1">
        <v>4640000</v>
      </c>
      <c r="C86" s="1">
        <v>12152000</v>
      </c>
      <c r="D86" s="1">
        <v>7449000</v>
      </c>
      <c r="E86" s="1">
        <v>25701000</v>
      </c>
      <c r="F86" s="1">
        <v>24962000</v>
      </c>
      <c r="M86" s="24" t="s">
        <v>129</v>
      </c>
      <c r="N86" s="25">
        <f>F56</f>
        <v>5637000</v>
      </c>
    </row>
    <row r="87" spans="1:14" ht="20" x14ac:dyDescent="0.25">
      <c r="A87" s="6" t="s">
        <v>73</v>
      </c>
      <c r="B87" s="10">
        <v>-11836000</v>
      </c>
      <c r="C87" s="10">
        <v>-5608000</v>
      </c>
      <c r="D87" s="10">
        <v>-173000</v>
      </c>
      <c r="E87" s="10">
        <v>10095000</v>
      </c>
      <c r="F87" s="10">
        <v>-6021000</v>
      </c>
      <c r="M87" s="24" t="s">
        <v>130</v>
      </c>
      <c r="N87" s="25">
        <f>F61</f>
        <v>281069000</v>
      </c>
    </row>
    <row r="88" spans="1:14" ht="20" x14ac:dyDescent="0.25">
      <c r="A88" s="5" t="s">
        <v>74</v>
      </c>
      <c r="B88" s="1">
        <v>-822000</v>
      </c>
      <c r="C88" s="1">
        <v>-3730000</v>
      </c>
      <c r="D88" s="1">
        <v>-5174000</v>
      </c>
      <c r="E88" s="1">
        <v>-4038000</v>
      </c>
      <c r="F88" s="1">
        <v>-3457000</v>
      </c>
      <c r="M88" s="34" t="s">
        <v>131</v>
      </c>
      <c r="N88" s="35">
        <f>N85/(N86+N87)</f>
        <v>-1.8827649229524322E-2</v>
      </c>
    </row>
    <row r="89" spans="1:14" ht="20" customHeight="1" x14ac:dyDescent="0.25">
      <c r="A89" s="14" t="s">
        <v>105</v>
      </c>
      <c r="B89" s="15">
        <f>(-1*B88)/B3</f>
        <v>1.0322742684917745E-2</v>
      </c>
      <c r="C89" s="15">
        <f>(-1*C88)/C3</f>
        <v>3.1657655975488655E-2</v>
      </c>
      <c r="D89" s="15">
        <f>(-1*D88)/D3</f>
        <v>3.1102908909474546E-2</v>
      </c>
      <c r="E89" s="15">
        <f>(-1*E88)/E3</f>
        <v>1.8908389368596526E-2</v>
      </c>
      <c r="F89" s="15">
        <f>(-1*F88)/F3</f>
        <v>1.2285178183058749E-2</v>
      </c>
      <c r="M89" s="24" t="s">
        <v>106</v>
      </c>
      <c r="N89" s="25">
        <f>F27</f>
        <v>535000</v>
      </c>
    </row>
    <row r="90" spans="1:14" ht="20" x14ac:dyDescent="0.25">
      <c r="A90" s="5" t="s">
        <v>75</v>
      </c>
      <c r="B90" s="1" t="s">
        <v>92</v>
      </c>
      <c r="C90" s="1" t="s">
        <v>92</v>
      </c>
      <c r="D90" s="1" t="s">
        <v>92</v>
      </c>
      <c r="E90" s="1">
        <v>-49656000</v>
      </c>
      <c r="F90" s="1">
        <v>-160000</v>
      </c>
      <c r="M90" s="24" t="s">
        <v>19</v>
      </c>
      <c r="N90" s="25">
        <f>F25</f>
        <v>-106920000</v>
      </c>
    </row>
    <row r="91" spans="1:14" ht="20" x14ac:dyDescent="0.25">
      <c r="A91" s="5" t="s">
        <v>76</v>
      </c>
      <c r="B91" s="1" t="s">
        <v>92</v>
      </c>
      <c r="C91" s="1" t="s">
        <v>92</v>
      </c>
      <c r="D91" s="1">
        <v>-269846000</v>
      </c>
      <c r="E91" s="1">
        <v>-222042000</v>
      </c>
      <c r="F91" s="1">
        <v>-197093000</v>
      </c>
      <c r="M91" s="34" t="s">
        <v>132</v>
      </c>
      <c r="N91" s="35">
        <f>N89/N90</f>
        <v>-5.0037411148522257E-3</v>
      </c>
    </row>
    <row r="92" spans="1:14" ht="20" x14ac:dyDescent="0.25">
      <c r="A92" s="5" t="s">
        <v>77</v>
      </c>
      <c r="B92" s="1" t="s">
        <v>92</v>
      </c>
      <c r="C92" s="1" t="s">
        <v>92</v>
      </c>
      <c r="D92" s="1">
        <v>42950000</v>
      </c>
      <c r="E92" s="1">
        <v>227226000</v>
      </c>
      <c r="F92" s="1">
        <v>-3034000</v>
      </c>
      <c r="M92" s="36" t="s">
        <v>133</v>
      </c>
      <c r="N92" s="37">
        <f>N88*(1-N91)</f>
        <v>-1.8921857912070107E-2</v>
      </c>
    </row>
    <row r="93" spans="1:14" ht="19" x14ac:dyDescent="0.25">
      <c r="A93" s="5" t="s">
        <v>78</v>
      </c>
      <c r="B93" s="1" t="s">
        <v>92</v>
      </c>
      <c r="C93" s="1">
        <v>-389000</v>
      </c>
      <c r="D93" s="1" t="s">
        <v>92</v>
      </c>
      <c r="E93" s="1">
        <v>-810000</v>
      </c>
      <c r="F93" s="1">
        <v>221120000</v>
      </c>
      <c r="M93" s="64" t="s">
        <v>134</v>
      </c>
      <c r="N93" s="65"/>
    </row>
    <row r="94" spans="1:14" ht="20" x14ac:dyDescent="0.25">
      <c r="A94" s="6" t="s">
        <v>79</v>
      </c>
      <c r="B94" s="10">
        <v>-822000</v>
      </c>
      <c r="C94" s="10">
        <v>-4119000</v>
      </c>
      <c r="D94" s="10">
        <v>-232070000</v>
      </c>
      <c r="E94" s="10">
        <v>-49320000</v>
      </c>
      <c r="F94" s="10">
        <v>17376000</v>
      </c>
      <c r="M94" s="24" t="s">
        <v>135</v>
      </c>
      <c r="N94" s="38">
        <v>4.095E-2</v>
      </c>
    </row>
    <row r="95" spans="1:14" ht="20" x14ac:dyDescent="0.25">
      <c r="A95" s="5" t="s">
        <v>80</v>
      </c>
      <c r="B95" s="1">
        <v>-10000000</v>
      </c>
      <c r="C95" s="1" t="s">
        <v>92</v>
      </c>
      <c r="D95" s="1" t="s">
        <v>92</v>
      </c>
      <c r="E95" s="1" t="s">
        <v>92</v>
      </c>
      <c r="F95" s="1">
        <v>-23586000</v>
      </c>
      <c r="M95" s="24" t="s">
        <v>136</v>
      </c>
      <c r="N95" s="39" cm="1">
        <f t="array" ref="N95">_FV(A1,"Beta")</f>
        <v>0.92869999999999997</v>
      </c>
    </row>
    <row r="96" spans="1:14" ht="20" x14ac:dyDescent="0.25">
      <c r="A96" s="5" t="s">
        <v>81</v>
      </c>
      <c r="B96" s="1" t="s">
        <v>92</v>
      </c>
      <c r="C96" s="1" t="s">
        <v>92</v>
      </c>
      <c r="D96" s="1">
        <v>220086000</v>
      </c>
      <c r="E96" s="1" t="s">
        <v>92</v>
      </c>
      <c r="F96" s="1">
        <v>15108000</v>
      </c>
      <c r="M96" s="24" t="s">
        <v>137</v>
      </c>
      <c r="N96" s="38">
        <v>8.4000000000000005E-2</v>
      </c>
    </row>
    <row r="97" spans="1:14" ht="20" x14ac:dyDescent="0.25">
      <c r="A97" s="5" t="s">
        <v>82</v>
      </c>
      <c r="B97" s="1" t="s">
        <v>92</v>
      </c>
      <c r="C97" s="1" t="s">
        <v>92</v>
      </c>
      <c r="D97" s="1" t="s">
        <v>92</v>
      </c>
      <c r="E97" s="1" t="s">
        <v>92</v>
      </c>
      <c r="F97" s="1" t="s">
        <v>92</v>
      </c>
      <c r="M97" s="36" t="s">
        <v>138</v>
      </c>
      <c r="N97" s="37">
        <f>(N94)+((N95)*(N96-N94))</f>
        <v>8.0930534999999998E-2</v>
      </c>
    </row>
    <row r="98" spans="1:14" ht="19" x14ac:dyDescent="0.25">
      <c r="A98" s="5" t="s">
        <v>83</v>
      </c>
      <c r="B98" s="1" t="s">
        <v>92</v>
      </c>
      <c r="C98" s="1" t="s">
        <v>92</v>
      </c>
      <c r="D98" s="1" t="s">
        <v>92</v>
      </c>
      <c r="E98" s="1" t="s">
        <v>92</v>
      </c>
      <c r="F98" s="1" t="s">
        <v>92</v>
      </c>
      <c r="M98" s="64" t="s">
        <v>139</v>
      </c>
      <c r="N98" s="65"/>
    </row>
    <row r="99" spans="1:14" ht="20" x14ac:dyDescent="0.25">
      <c r="A99" s="5" t="s">
        <v>84</v>
      </c>
      <c r="B99" s="1">
        <v>55429000</v>
      </c>
      <c r="C99" s="1">
        <v>93599000</v>
      </c>
      <c r="D99" s="1">
        <v>5858000</v>
      </c>
      <c r="E99" s="1">
        <v>254367000</v>
      </c>
      <c r="F99" s="1">
        <v>7742000</v>
      </c>
      <c r="M99" s="24" t="s">
        <v>140</v>
      </c>
      <c r="N99" s="25">
        <f>N86+N87</f>
        <v>286706000</v>
      </c>
    </row>
    <row r="100" spans="1:14" ht="20" x14ac:dyDescent="0.25">
      <c r="A100" s="6" t="s">
        <v>85</v>
      </c>
      <c r="B100" s="10">
        <v>45429000</v>
      </c>
      <c r="C100" s="10">
        <v>93599000</v>
      </c>
      <c r="D100" s="10">
        <v>225944000</v>
      </c>
      <c r="E100" s="10">
        <v>254367000</v>
      </c>
      <c r="F100" s="10">
        <v>-736000</v>
      </c>
      <c r="M100" s="34" t="s">
        <v>141</v>
      </c>
      <c r="N100" s="35">
        <f>N99/N103</f>
        <v>9.7832241233984679E-2</v>
      </c>
    </row>
    <row r="101" spans="1:14" ht="20" x14ac:dyDescent="0.25">
      <c r="A101" s="5" t="s">
        <v>86</v>
      </c>
      <c r="B101" s="1" t="s">
        <v>92</v>
      </c>
      <c r="C101" s="1" t="s">
        <v>92</v>
      </c>
      <c r="D101" s="1" t="s">
        <v>92</v>
      </c>
      <c r="E101" s="1" t="s">
        <v>92</v>
      </c>
      <c r="F101" s="1" t="s">
        <v>92</v>
      </c>
      <c r="M101" s="24" t="s">
        <v>142</v>
      </c>
      <c r="N101" s="40" cm="1">
        <f t="array" ref="N101">_FV(A1,"Market cap",TRUE)</f>
        <v>2643882080</v>
      </c>
    </row>
    <row r="102" spans="1:14" ht="20" x14ac:dyDescent="0.25">
      <c r="A102" s="6" t="s">
        <v>87</v>
      </c>
      <c r="B102" s="10">
        <v>32771000</v>
      </c>
      <c r="C102" s="10">
        <v>83872000</v>
      </c>
      <c r="D102" s="10">
        <v>-6299000</v>
      </c>
      <c r="E102" s="10">
        <v>215142000</v>
      </c>
      <c r="F102" s="10">
        <v>10619000</v>
      </c>
      <c r="M102" s="34" t="s">
        <v>143</v>
      </c>
      <c r="N102" s="35">
        <f>N101/N103</f>
        <v>0.90216775876601529</v>
      </c>
    </row>
    <row r="103" spans="1:14" ht="20" x14ac:dyDescent="0.25">
      <c r="A103" s="5" t="s">
        <v>88</v>
      </c>
      <c r="B103" s="1">
        <v>13680000</v>
      </c>
      <c r="C103" s="1">
        <v>46451000</v>
      </c>
      <c r="D103" s="1">
        <v>130323000</v>
      </c>
      <c r="E103" s="1">
        <v>124024000</v>
      </c>
      <c r="F103" s="1">
        <v>339166000</v>
      </c>
      <c r="M103" s="36" t="s">
        <v>144</v>
      </c>
      <c r="N103" s="41">
        <f>N99+N101</f>
        <v>2930588080</v>
      </c>
    </row>
    <row r="104" spans="1:14" ht="20" thickBot="1" x14ac:dyDescent="0.3">
      <c r="A104" s="7" t="s">
        <v>89</v>
      </c>
      <c r="B104" s="11">
        <v>46451000</v>
      </c>
      <c r="C104" s="11">
        <v>130323000</v>
      </c>
      <c r="D104" s="11">
        <v>124024000</v>
      </c>
      <c r="E104" s="11">
        <v>339166000</v>
      </c>
      <c r="F104" s="11">
        <v>349785000</v>
      </c>
      <c r="M104" s="64" t="s">
        <v>145</v>
      </c>
      <c r="N104" s="65"/>
    </row>
    <row r="105" spans="1:14" ht="21" thickTop="1" x14ac:dyDescent="0.25">
      <c r="A105" s="14" t="s">
        <v>107</v>
      </c>
      <c r="B105" s="1"/>
      <c r="C105" s="15">
        <f>(C106/B106)-1</f>
        <v>-0.23155316795702319</v>
      </c>
      <c r="D105" s="15">
        <f>(D106/C106)-1</f>
        <v>-0.45029299886912721</v>
      </c>
      <c r="E105" s="15">
        <f>(E106/D106)-1</f>
        <v>-1.9812979240695716</v>
      </c>
      <c r="F105" s="15">
        <f>(F106/E106)-1</f>
        <v>-3.4453973699256717</v>
      </c>
      <c r="G105" s="15"/>
      <c r="H105" s="15"/>
      <c r="I105" s="15"/>
      <c r="J105" s="15"/>
      <c r="K105" s="15"/>
      <c r="L105" s="15"/>
      <c r="M105" s="26" t="s">
        <v>108</v>
      </c>
      <c r="N105" s="27">
        <f>(N100*N92)+(N102*N97)</f>
        <v>7.1161751608835727E-2</v>
      </c>
    </row>
    <row r="106" spans="1:14" ht="19" x14ac:dyDescent="0.25">
      <c r="A106" s="5" t="s">
        <v>90</v>
      </c>
      <c r="B106" s="1">
        <v>-12658000</v>
      </c>
      <c r="C106" s="1">
        <v>-9727000</v>
      </c>
      <c r="D106" s="1">
        <v>-5347000</v>
      </c>
      <c r="E106" s="1">
        <v>5247000</v>
      </c>
      <c r="F106" s="1">
        <v>-12831000</v>
      </c>
      <c r="G106" s="42">
        <f>F106*(1+$N$106)</f>
        <v>-16667809.464198256</v>
      </c>
      <c r="H106" s="42">
        <f t="shared" ref="H106:K106" si="5">G106*(1+$N$106)</f>
        <v>-21651926.766021118</v>
      </c>
      <c r="I106" s="42">
        <f t="shared" si="5"/>
        <v>-28126427.392160729</v>
      </c>
      <c r="J106" s="42">
        <f t="shared" si="5"/>
        <v>-36536975.503167458</v>
      </c>
      <c r="K106" s="42">
        <f t="shared" si="5"/>
        <v>-47462500.669072904</v>
      </c>
      <c r="L106" s="43" t="s">
        <v>146</v>
      </c>
      <c r="M106" s="44" t="s">
        <v>147</v>
      </c>
      <c r="N106" s="45">
        <f>(SUM(G4:K4)/5)</f>
        <v>0.29902653450224104</v>
      </c>
    </row>
    <row r="107" spans="1:14" ht="19" x14ac:dyDescent="0.25">
      <c r="A107" s="5"/>
      <c r="B107" s="13"/>
      <c r="C107" s="13"/>
      <c r="D107" s="13"/>
      <c r="E107" s="13"/>
      <c r="F107" s="13"/>
      <c r="G107" s="43"/>
      <c r="H107" s="43"/>
      <c r="I107" s="43"/>
      <c r="J107" s="43"/>
      <c r="K107" s="46">
        <f>K106*(1+N107)/(N108-N107)</f>
        <v>-1053882521.5741577</v>
      </c>
      <c r="L107" s="47" t="s">
        <v>148</v>
      </c>
      <c r="M107" s="48" t="s">
        <v>149</v>
      </c>
      <c r="N107" s="49">
        <v>2.5000000000000001E-2</v>
      </c>
    </row>
    <row r="108" spans="1:14" ht="19" x14ac:dyDescent="0.25">
      <c r="G108" s="46">
        <f t="shared" ref="G108:I108" si="6">G107+G106</f>
        <v>-16667809.464198256</v>
      </c>
      <c r="H108" s="46">
        <f t="shared" si="6"/>
        <v>-21651926.766021118</v>
      </c>
      <c r="I108" s="46">
        <f t="shared" si="6"/>
        <v>-28126427.392160729</v>
      </c>
      <c r="J108" s="46">
        <f>J107+J106</f>
        <v>-36536975.503167458</v>
      </c>
      <c r="K108" s="46">
        <f>K107+K106</f>
        <v>-1101345022.2432306</v>
      </c>
      <c r="L108" s="47" t="s">
        <v>144</v>
      </c>
      <c r="M108" s="50" t="s">
        <v>150</v>
      </c>
      <c r="N108" s="51">
        <f>N105</f>
        <v>7.1161751608835727E-2</v>
      </c>
    </row>
    <row r="109" spans="1:14" ht="19" x14ac:dyDescent="0.25">
      <c r="G109" s="60" t="s">
        <v>151</v>
      </c>
      <c r="H109" s="61"/>
    </row>
    <row r="110" spans="1:14" ht="20" x14ac:dyDescent="0.25">
      <c r="G110" s="52" t="s">
        <v>152</v>
      </c>
      <c r="H110" s="40">
        <f>NPV(N108,G108,H108,I108,J108,K108)</f>
        <v>-866063945.32322323</v>
      </c>
    </row>
    <row r="111" spans="1:14" ht="20" x14ac:dyDescent="0.25">
      <c r="G111" s="52" t="s">
        <v>153</v>
      </c>
      <c r="H111" s="40">
        <f>F40</f>
        <v>543356000</v>
      </c>
    </row>
    <row r="112" spans="1:14" ht="20" x14ac:dyDescent="0.25">
      <c r="G112" s="52" t="s">
        <v>140</v>
      </c>
      <c r="H112" s="40">
        <f>N99</f>
        <v>286706000</v>
      </c>
    </row>
    <row r="113" spans="7:8" ht="20" x14ac:dyDescent="0.25">
      <c r="G113" s="52" t="s">
        <v>154</v>
      </c>
      <c r="H113" s="40">
        <f>H110+H111-H112</f>
        <v>-609413945.32322323</v>
      </c>
    </row>
    <row r="114" spans="7:8" ht="20" x14ac:dyDescent="0.25">
      <c r="G114" s="52" t="s">
        <v>155</v>
      </c>
      <c r="H114" s="53">
        <f>F34*(1+(5*0.05))</f>
        <v>105642500</v>
      </c>
    </row>
    <row r="115" spans="7:8" ht="20" x14ac:dyDescent="0.25">
      <c r="G115" s="54" t="s">
        <v>156</v>
      </c>
      <c r="H115" s="55">
        <f>H113/H114</f>
        <v>-5.7686437307260165</v>
      </c>
    </row>
    <row r="116" spans="7:8" ht="20" x14ac:dyDescent="0.25">
      <c r="G116" s="52" t="s">
        <v>157</v>
      </c>
      <c r="H116" s="56" cm="1">
        <f t="array" ref="H116">_FV(A1,"Price")</f>
        <v>28.71</v>
      </c>
    </row>
    <row r="117" spans="7:8" ht="20" x14ac:dyDescent="0.25">
      <c r="G117" s="57" t="s">
        <v>158</v>
      </c>
      <c r="H117" s="58">
        <f>H115/H116-1</f>
        <v>-1.2009280296316969</v>
      </c>
    </row>
    <row r="118" spans="7:8" ht="20" x14ac:dyDescent="0.25">
      <c r="G118" s="57" t="s">
        <v>159</v>
      </c>
      <c r="H118" s="59" t="str">
        <f>IF(H115&gt;H116,"BUY","SELL")</f>
        <v>SELL</v>
      </c>
    </row>
  </sheetData>
  <mergeCells count="6">
    <mergeCell ref="G109:H109"/>
    <mergeCell ref="M83:N83"/>
    <mergeCell ref="M84:N84"/>
    <mergeCell ref="M93:N93"/>
    <mergeCell ref="M98:N98"/>
    <mergeCell ref="M104:N104"/>
  </mergeCells>
  <hyperlinks>
    <hyperlink ref="A1" r:id="rId1" tooltip="https://roic.ai/company/PD" display="ROIC.AI | P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8100/000156810020000013/0001568100-20-000013-index.html" xr:uid="{00000000-0004-0000-0000-000007000000}"/>
    <hyperlink ref="D74" r:id="rId7" tooltip="https://www.sec.gov/Archives/edgar/data/1568100/000156810020000013/0001568100-20-000013-index.html" xr:uid="{00000000-0004-0000-0000-000008000000}"/>
    <hyperlink ref="E36" r:id="rId8" tooltip="https://www.sec.gov/Archives/edgar/data/1568100/000156810021000011/0001568100-21-000011-index.htm" xr:uid="{00000000-0004-0000-0000-00000A000000}"/>
    <hyperlink ref="E74" r:id="rId9" tooltip="https://www.sec.gov/Archives/edgar/data/1568100/000156810021000011/0001568100-21-000011-index.htm" xr:uid="{00000000-0004-0000-0000-00000B000000}"/>
    <hyperlink ref="F36" r:id="rId10" tooltip="https://www.sec.gov/Archives/edgar/data/1568100/000156810022000014/0001568100-22-000014-index.htm" xr:uid="{00000000-0004-0000-0000-00000D000000}"/>
    <hyperlink ref="F74" r:id="rId11" tooltip="https://www.sec.gov/Archives/edgar/data/1568100/000156810022000014/0001568100-22-000014-index.htm" xr:uid="{00000000-0004-0000-0000-00000E000000}"/>
    <hyperlink ref="G1" r:id="rId12" display="https://finbox.com/NYSE:PD/explorer/revenue_proj" xr:uid="{ED8F1127-BE85-3F4B-AE13-4F1C4A45E41E}"/>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2023-03-14T00:28:22Z</dcterms:created>
  <dcterms:modified xsi:type="dcterms:W3CDTF">2023-05-26T06:32:35Z</dcterms:modified>
</cp:coreProperties>
</file>