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76DED98C-C4F2-EF40-9472-70D7D3F78A0E}"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14" i="1" l="1" a="1"/>
  <c r="N114" i="1" s="1"/>
  <c r="N106" i="1"/>
  <c r="O106" i="1" s="1"/>
  <c r="P106" i="1" s="1"/>
  <c r="Q106" i="1" s="1"/>
  <c r="M106" i="1"/>
  <c r="N116" i="1" a="1"/>
  <c r="N116" i="1" s="1"/>
  <c r="T101" i="1" a="1"/>
  <c r="T101" i="1" s="1"/>
  <c r="T95" i="1" a="1"/>
  <c r="T95" i="1" s="1"/>
  <c r="T97" i="1" s="1"/>
  <c r="N111" i="1"/>
  <c r="M108" i="1"/>
  <c r="T90" i="1"/>
  <c r="T89" i="1"/>
  <c r="T91" i="1" s="1"/>
  <c r="T87" i="1"/>
  <c r="T86" i="1"/>
  <c r="T99" i="1" s="1"/>
  <c r="T85" i="1"/>
  <c r="T88" i="1" s="1"/>
  <c r="R19" i="1"/>
  <c r="R16" i="1"/>
  <c r="U13" i="1"/>
  <c r="T13" i="1"/>
  <c r="S13" i="1"/>
  <c r="R13" i="1"/>
  <c r="U10" i="1"/>
  <c r="T10" i="1"/>
  <c r="S10" i="1"/>
  <c r="R10" i="1"/>
  <c r="U7" i="1"/>
  <c r="T7" i="1"/>
  <c r="S7" i="1"/>
  <c r="R7" i="1"/>
  <c r="U4" i="1"/>
  <c r="T4" i="1"/>
  <c r="S4" i="1"/>
  <c r="R4" i="1"/>
  <c r="Q4" i="1"/>
  <c r="P4" i="1"/>
  <c r="O4" i="1"/>
  <c r="N4" i="1"/>
  <c r="M4" i="1"/>
  <c r="L105" i="1"/>
  <c r="K105" i="1"/>
  <c r="J105" i="1"/>
  <c r="I105" i="1"/>
  <c r="H105" i="1"/>
  <c r="G105" i="1"/>
  <c r="F105" i="1"/>
  <c r="E105" i="1"/>
  <c r="D105" i="1"/>
  <c r="C105" i="1"/>
  <c r="L89" i="1"/>
  <c r="K89" i="1"/>
  <c r="J89" i="1"/>
  <c r="I89" i="1"/>
  <c r="H89" i="1"/>
  <c r="G89" i="1"/>
  <c r="F89" i="1"/>
  <c r="E89" i="1"/>
  <c r="D89" i="1"/>
  <c r="C89" i="1"/>
  <c r="B89" i="1"/>
  <c r="L80" i="1"/>
  <c r="K80" i="1"/>
  <c r="J80" i="1"/>
  <c r="I80" i="1"/>
  <c r="H80" i="1"/>
  <c r="G80" i="1"/>
  <c r="F80" i="1"/>
  <c r="E80" i="1"/>
  <c r="D80" i="1"/>
  <c r="C80" i="1"/>
  <c r="B80" i="1"/>
  <c r="L35" i="1"/>
  <c r="K35" i="1"/>
  <c r="J35" i="1"/>
  <c r="I35" i="1"/>
  <c r="H35" i="1"/>
  <c r="G35" i="1"/>
  <c r="F35" i="1"/>
  <c r="E35" i="1"/>
  <c r="D35" i="1"/>
  <c r="C35" i="1"/>
  <c r="L29" i="1"/>
  <c r="K29" i="1"/>
  <c r="J29" i="1"/>
  <c r="I29" i="1"/>
  <c r="H29" i="1"/>
  <c r="G29" i="1"/>
  <c r="F29" i="1"/>
  <c r="E29" i="1"/>
  <c r="D29" i="1"/>
  <c r="C29" i="1"/>
  <c r="L20" i="1"/>
  <c r="K20" i="1"/>
  <c r="J20" i="1"/>
  <c r="I20" i="1"/>
  <c r="H20" i="1"/>
  <c r="G20" i="1"/>
  <c r="F20" i="1"/>
  <c r="E20" i="1"/>
  <c r="D20" i="1"/>
  <c r="C20" i="1"/>
  <c r="L13" i="1"/>
  <c r="K13" i="1"/>
  <c r="J13" i="1"/>
  <c r="I13" i="1"/>
  <c r="H13" i="1"/>
  <c r="G13" i="1"/>
  <c r="F13" i="1"/>
  <c r="E13" i="1"/>
  <c r="D13" i="1"/>
  <c r="C13" i="1"/>
  <c r="B13" i="1"/>
  <c r="L9" i="1"/>
  <c r="K9" i="1"/>
  <c r="J9" i="1"/>
  <c r="I9" i="1"/>
  <c r="H9" i="1"/>
  <c r="G9" i="1"/>
  <c r="F9" i="1"/>
  <c r="E9" i="1"/>
  <c r="D9" i="1"/>
  <c r="C9" i="1"/>
  <c r="B9" i="1"/>
  <c r="L4" i="1"/>
  <c r="K4" i="1"/>
  <c r="J4" i="1"/>
  <c r="I4" i="1"/>
  <c r="H4" i="1"/>
  <c r="G4" i="1"/>
  <c r="F4" i="1"/>
  <c r="E4" i="1"/>
  <c r="D4" i="1"/>
  <c r="C4" i="1"/>
  <c r="T106" i="1" l="1"/>
  <c r="U16" i="1"/>
  <c r="T16" i="1"/>
  <c r="S16" i="1"/>
  <c r="N108" i="1"/>
  <c r="T92" i="1"/>
  <c r="T103" i="1"/>
  <c r="T102" i="1" s="1"/>
  <c r="N112" i="1"/>
  <c r="O108" i="1" l="1"/>
  <c r="T100" i="1"/>
  <c r="T105" i="1" s="1"/>
  <c r="T108" i="1" s="1"/>
  <c r="Q107" i="1" l="1"/>
  <c r="Q108" i="1" s="1"/>
  <c r="P108" i="1"/>
  <c r="N110" i="1" l="1"/>
  <c r="N113" i="1" s="1"/>
  <c r="N115" i="1" s="1"/>
  <c r="N118" i="1" s="1"/>
  <c r="N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<sst xmlns="http://schemas.openxmlformats.org/spreadsheetml/2006/main" count="413" uniqueCount="160">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</sst>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RPD</a:t>
            </a:r>
            <a:endParaRPr lang="en-US"/>
          </a:p>
        </c:rich>
      </c:tx>
      <c:layout>
        <c:manualLayout>
          <c:xMode val="edge"/>
          <c:yMode val="edge"/>
          <c:x val="0.46994869033163039"/>
          <c:y val="1.633069791873613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354790950016147E-2"/>
          <c:y val="0.10110743348937509"/>
          <c:w val="0.84782800116334844"/>
          <c:h val="0.7991319333938983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1'!$B$3:$L$3</c:f>
              <c:numCache>
                <c:formatCode>#,###,,;\(#,###,,\);\ \-\ \-</c:formatCode>
                <c:ptCount val="11"/>
                <c:pt idx="0">
                  <c:v>46044000</c:v>
                </c:pt>
                <c:pt idx="1">
                  <c:v>60030000</c:v>
                </c:pt>
                <c:pt idx="2">
                  <c:v>76880000</c:v>
                </c:pt>
                <c:pt idx="3">
                  <c:v>110526000</c:v>
                </c:pt>
                <c:pt idx="4">
                  <c:v>157437000</c:v>
                </c:pt>
                <c:pt idx="5">
                  <c:v>200940000</c:v>
                </c:pt>
                <c:pt idx="6">
                  <c:v>244091000</c:v>
                </c:pt>
                <c:pt idx="7">
                  <c:v>326947000</c:v>
                </c:pt>
                <c:pt idx="8">
                  <c:v>411486000</c:v>
                </c:pt>
                <c:pt idx="9">
                  <c:v>535404000</c:v>
                </c:pt>
                <c:pt idx="10">
                  <c:v>685083000</c:v>
                </c:pt>
              </c:numCache>
            </c:numRef>
          </c:val>
          <c:extLst>
            <c:ext xmlns:c16="http://schemas.microsoft.com/office/drawing/2014/chart" uri="{C3380CC4-5D6E-409C-BE32-E72D297353CC}">
              <c16:uniqueId val="{00000000-BE5E-5946-A567-B9921F0F637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1'!$B$19:$L$19</c:f>
              <c:numCache>
                <c:formatCode>#,###,,;\(#,###,,\);\ \-\ \-</c:formatCode>
                <c:ptCount val="11"/>
                <c:pt idx="0">
                  <c:v>-11283000</c:v>
                </c:pt>
                <c:pt idx="1">
                  <c:v>-16072000</c:v>
                </c:pt>
                <c:pt idx="2">
                  <c:v>-28108000</c:v>
                </c:pt>
                <c:pt idx="3">
                  <c:v>-44009000</c:v>
                </c:pt>
                <c:pt idx="4">
                  <c:v>-42302000</c:v>
                </c:pt>
                <c:pt idx="5">
                  <c:v>-40078000</c:v>
                </c:pt>
                <c:pt idx="6">
                  <c:v>-39048000</c:v>
                </c:pt>
                <c:pt idx="7">
                  <c:v>-23886000</c:v>
                </c:pt>
                <c:pt idx="8">
                  <c:v>-50095000</c:v>
                </c:pt>
                <c:pt idx="9">
                  <c:v>-88120000</c:v>
                </c:pt>
                <c:pt idx="10">
                  <c:v>-70285000</c:v>
                </c:pt>
              </c:numCache>
            </c:numRef>
          </c:val>
          <c:extLst>
            <c:ext xmlns:c16="http://schemas.microsoft.com/office/drawing/2014/chart" uri="{C3380CC4-5D6E-409C-BE32-E72D297353CC}">
              <c16:uniqueId val="{00000001-BE5E-5946-A567-B9921F0F637E}"/>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1'!$B$106:$L$106</c:f>
              <c:numCache>
                <c:formatCode>#,###,,;\(#,###,,\);\ \-\ \-</c:formatCode>
                <c:ptCount val="11"/>
                <c:pt idx="0">
                  <c:v>-2824000</c:v>
                </c:pt>
                <c:pt idx="1">
                  <c:v>-3391000</c:v>
                </c:pt>
                <c:pt idx="2">
                  <c:v>-10438000</c:v>
                </c:pt>
                <c:pt idx="3">
                  <c:v>-6043000</c:v>
                </c:pt>
                <c:pt idx="4">
                  <c:v>4613000</c:v>
                </c:pt>
                <c:pt idx="5">
                  <c:v>7300000</c:v>
                </c:pt>
                <c:pt idx="6">
                  <c:v>-10012000</c:v>
                </c:pt>
                <c:pt idx="7">
                  <c:v>-36935000</c:v>
                </c:pt>
                <c:pt idx="8">
                  <c:v>-15045000</c:v>
                </c:pt>
                <c:pt idx="9">
                  <c:v>35053000</c:v>
                </c:pt>
                <c:pt idx="10">
                  <c:v>40677000</c:v>
                </c:pt>
              </c:numCache>
            </c:numRef>
          </c:val>
          <c:extLst>
            <c:ext xmlns:c16="http://schemas.microsoft.com/office/drawing/2014/chart" uri="{C3380CC4-5D6E-409C-BE32-E72D297353CC}">
              <c16:uniqueId val="{00000002-BE5E-5946-A567-B9921F0F637E}"/>
            </c:ext>
          </c:extLst>
        </c:ser>
        <c:dLbls>
          <c:showLegendKey val="0"/>
          <c:showVal val="0"/>
          <c:showCatName val="0"/>
          <c:showSerName val="0"/>
          <c:showPercent val="0"/>
          <c:showBubbleSize val="0"/>
        </c:dLbls>
        <c:gapWidth val="100"/>
        <c:overlap val="-24"/>
        <c:axId val="345047295"/>
        <c:axId val="345049023"/>
      </c:barChart>
      <c:catAx>
        <c:axId val="34504729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45049023"/>
        <c:crosses val="autoZero"/>
        <c:auto val="1"/>
        <c:lblAlgn val="ctr"/>
        <c:lblOffset val="100"/>
        <c:noMultiLvlLbl val="0"/>
      </c:catAx>
      <c:valAx>
        <c:axId val="34504902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45047295"/>
        <c:crosses val="autoZero"/>
        <c:crossBetween val="between"/>
      </c:valAx>
      <c:spPr>
        <a:noFill/>
        <a:ln>
          <a:noFill/>
        </a:ln>
        <a:effectLst/>
      </c:spPr>
    </c:plotArea>
    <c:legend>
      <c:legendPos val="b"/>
      <c:layout>
        <c:manualLayout>
          <c:xMode val="edge"/>
          <c:yMode val="edge"/>
          <c:x val="0.34702431746282503"/>
          <c:y val="0.93570093091407547"/>
          <c:w val="0.30330444518106042"/>
          <c:h val="4.184435944766236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23812</xdr:colOff>
      <xdr:row>108</xdr:row>
      <xdr:rowOff>33338</xdr:rowOff>
    </xdr:from>
    <xdr:to>
      <xdr:col>19</xdr:col>
      <xdr:colOff>1603374</xdr:colOff>
      <xdr:row>136</xdr:row>
      <xdr:rowOff>15875</xdr:rowOff>
    </xdr:to>
    <xdr:graphicFrame macro="">
      <xdr:nvGraphicFramePr>
        <xdr:cNvPr id="2" name="Chart 1">
          <a:extLst>
            <a:ext uri="{FF2B5EF4-FFF2-40B4-BE49-F238E27FC236}">
              <a16:creationId xmlns:a16="http://schemas.microsoft.com/office/drawing/2014/main" id="{CC572D0F-FF18-C802-FAF3-585ABB0920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https://www.bing.com/financeapi/forcetrigger?t=a2286h&amp;q=XNAS%3aRPD&amp;form=skydnc</v>
    <v>Learn more on Bing</v>
  </rv>
  <rv s="1">
    <v>0</v>
    <v>RAPID7, INC. (XNAS:RPD)</v>
    <v>2</v>
    <v>3</v>
    <v>Finance</v>
    <v>4</v>
    <v>en-US</v>
    <v>a2286h</v>
    <v>268435456</v>
    <v>1</v>
    <v>Powered by Refinitiv</v>
    <v>74.88</v>
    <v>26.484999999999999</v>
    <v>1.1113999999999999</v>
    <v>-1.05</v>
    <v>-2.2831000000000001E-2</v>
    <v>1.05</v>
    <v>2.3363999999999999E-2</v>
    <v>USD</v>
    <v>Rapid7, Inc. is engaged in advancing security with visibility, analytics, and automation delivered through its Insight Platform. Its Insight Platform solutions include incident detection and response, cloud security, vulnerability risk management, application security, threat intelligence and security orchestration and automation response. It offers its Insight Platform solutions as software-as-a-service products, on a subscription basis. It provides cloud products across the main pillars of Security Operations (SecOps), which include InsightIDR, InsightCloudSec, InsightVM, InsightAppSec and InsightConnect. Its other products include Threat Intelligence, Nexpose, AppSpider and Metasploit. Its professional service offerings include Penetration Testing, Cybersecurity Maturity Assessments, Security and Incident Response Program Development Services, Internet of things (IoT) and Internet Embedded Device testing, as well as Threat Modeling, TableTop Exercises and Incident Response services.</v>
    <v>2623</v>
    <v>Nasdaq Stock Market</v>
    <v>XNAS</v>
    <v>XNAS</v>
    <v>120 Causeway Street, BOSTON, MA, 02114 US</v>
    <v>46.23</v>
    <v>Software &amp; IT Services</v>
    <v>Stock</v>
    <v>45065.875001457811</v>
    <v>0</v>
    <v>44.695</v>
    <v>2712221127</v>
    <v>RAPID7, INC.</v>
    <v>RAPID7, INC.</v>
    <v>46.23</v>
    <v>45.99</v>
    <v>44.94</v>
    <v>45.99</v>
    <v>60352050</v>
    <v>RPD</v>
    <v>RAPID7, INC. (XNAS:RPD)</v>
    <v>1016481</v>
    <v>1419838</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60327/000119312516500210/0001193125-16-500210-index.htm" TargetMode="External"/><Relationship Id="rId13" Type="http://schemas.openxmlformats.org/officeDocument/2006/relationships/hyperlink" Target="https://www.sec.gov/Archives/edgar/data/1560327/000156032718000032/0001560327-18-000032-index.htm" TargetMode="External"/><Relationship Id="rId18" Type="http://schemas.openxmlformats.org/officeDocument/2006/relationships/hyperlink" Target="https://www.sec.gov/Archives/edgar/data/1560327/000156032721000043/0001560327-21-000043-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560327/000156032722000026/0001560327-22-000026-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60327/000156032718000032/0001560327-18-000032-index.htm" TargetMode="External"/><Relationship Id="rId17" Type="http://schemas.openxmlformats.org/officeDocument/2006/relationships/hyperlink" Target="https://www.sec.gov/Archives/edgar/data/1560327/000156032720000046/0001560327-20-000046-index.htm" TargetMode="External"/><Relationship Id="rId25"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www.sec.gov/Archives/edgar/data/1560327/000156032720000046/0001560327-20-000046-index.htm" TargetMode="External"/><Relationship Id="rId20" Type="http://schemas.openxmlformats.org/officeDocument/2006/relationships/hyperlink" Target="https://www.sec.gov/Archives/edgar/data/1560327/000156032722000026/0001560327-22-000026-index.htm" TargetMode="External"/><Relationship Id="rId1" Type="http://schemas.openxmlformats.org/officeDocument/2006/relationships/hyperlink" Target="https://roic.ai/company/RPD"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60327/000119312517076894/0001193125-17-076894-index.htm" TargetMode="External"/><Relationship Id="rId24" Type="http://schemas.openxmlformats.org/officeDocument/2006/relationships/hyperlink" Target="https://finbox.com/NASDAQGM:RPD/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60327/000156032719000046/0001560327-19-000046-index.htm" TargetMode="External"/><Relationship Id="rId23" Type="http://schemas.openxmlformats.org/officeDocument/2006/relationships/hyperlink" Target="https://www.sec.gov/Archives/edgar/data/1560327/000156032723000016/0001560327-23-000016-index.htm" TargetMode="External"/><Relationship Id="rId10" Type="http://schemas.openxmlformats.org/officeDocument/2006/relationships/hyperlink" Target="https://www.sec.gov/Archives/edgar/data/1560327/000119312517076894/0001193125-17-076894-index.htm" TargetMode="External"/><Relationship Id="rId19" Type="http://schemas.openxmlformats.org/officeDocument/2006/relationships/hyperlink" Target="https://www.sec.gov/Archives/edgar/data/1560327/000156032721000043/0001560327-21-000043-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60327/000119312516500210/0001193125-16-500210-index.htm" TargetMode="External"/><Relationship Id="rId14" Type="http://schemas.openxmlformats.org/officeDocument/2006/relationships/hyperlink" Target="https://www.sec.gov/Archives/edgar/data/1560327/000156032719000046/0001560327-19-000046-index.htm" TargetMode="External"/><Relationship Id="rId22" Type="http://schemas.openxmlformats.org/officeDocument/2006/relationships/hyperlink" Target="https://www.sec.gov/Archives/edgar/data/1560327/000156032723000016/0001560327-23-00001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8"/>
  <sheetViews>
    <sheetView tabSelected="1" zoomScale="80" zoomScaleNormal="80" workbookViewId="0">
      <pane xSplit="1" ySplit="1" topLeftCell="I82" activePane="bottomRight" state="frozen"/>
      <selection pane="topRight"/>
      <selection pane="bottomLeft"/>
      <selection pane="bottomRight" activeCell="K111" sqref="K111"/>
    </sheetView>
  </sheetViews>
  <sheetFormatPr baseColWidth="10" defaultRowHeight="16" x14ac:dyDescent="0.2"/>
  <cols>
    <col min="1" max="1" width="50" customWidth="1"/>
    <col min="2" max="12" width="15" customWidth="1"/>
    <col min="13" max="21" width="21" customWidth="1"/>
  </cols>
  <sheetData>
    <row r="1" spans="1:21" ht="22" thickBot="1" x14ac:dyDescent="0.3">
      <c r="A1" s="3" t="e" vm="1">
        <v>#VALUE!</v>
      </c>
      <c r="B1" s="8">
        <v>2012</v>
      </c>
      <c r="C1" s="8">
        <v>2013</v>
      </c>
      <c r="D1" s="8">
        <v>2014</v>
      </c>
      <c r="E1" s="8">
        <v>2015</v>
      </c>
      <c r="F1" s="8">
        <v>2016</v>
      </c>
      <c r="G1" s="8">
        <v>2017</v>
      </c>
      <c r="H1" s="8">
        <v>2018</v>
      </c>
      <c r="I1" s="8">
        <v>2019</v>
      </c>
      <c r="J1" s="8">
        <v>2020</v>
      </c>
      <c r="K1" s="8">
        <v>2021</v>
      </c>
      <c r="L1" s="8">
        <v>2022</v>
      </c>
      <c r="M1" s="27">
        <v>2023</v>
      </c>
      <c r="N1" s="27">
        <v>2024</v>
      </c>
      <c r="O1" s="27">
        <v>2025</v>
      </c>
      <c r="P1" s="27">
        <v>2026</v>
      </c>
      <c r="Q1" s="27">
        <v>2027</v>
      </c>
    </row>
    <row r="2" spans="1:21"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c r="Q2" s="9"/>
      <c r="R2" s="9"/>
      <c r="S2" s="9"/>
      <c r="T2" s="9"/>
      <c r="U2" s="9"/>
    </row>
    <row r="3" spans="1:21" ht="40" x14ac:dyDescent="0.25">
      <c r="A3" s="5" t="s">
        <v>1</v>
      </c>
      <c r="B3" s="1">
        <v>46044000</v>
      </c>
      <c r="C3" s="1">
        <v>60030000</v>
      </c>
      <c r="D3" s="1">
        <v>76880000</v>
      </c>
      <c r="E3" s="1">
        <v>110526000</v>
      </c>
      <c r="F3" s="1">
        <v>157437000</v>
      </c>
      <c r="G3" s="1">
        <v>200940000</v>
      </c>
      <c r="H3" s="1">
        <v>244091000</v>
      </c>
      <c r="I3" s="1">
        <v>326947000</v>
      </c>
      <c r="J3" s="1">
        <v>411486000</v>
      </c>
      <c r="K3" s="1">
        <v>535404000</v>
      </c>
      <c r="L3" s="1">
        <v>685083000</v>
      </c>
      <c r="M3" s="28">
        <v>774900000</v>
      </c>
      <c r="N3" s="28">
        <v>897400000</v>
      </c>
      <c r="O3" s="28">
        <v>1051000000</v>
      </c>
      <c r="P3" s="28">
        <v>1182000000</v>
      </c>
      <c r="Q3" s="28">
        <v>1271000000</v>
      </c>
      <c r="R3" s="18" t="s">
        <v>109</v>
      </c>
      <c r="S3" s="19" t="s">
        <v>110</v>
      </c>
      <c r="T3" s="19" t="s">
        <v>111</v>
      </c>
      <c r="U3" s="19" t="s">
        <v>112</v>
      </c>
    </row>
    <row r="4" spans="1:21" ht="19" x14ac:dyDescent="0.25">
      <c r="A4" s="14" t="s">
        <v>94</v>
      </c>
      <c r="B4" s="1"/>
      <c r="C4" s="15">
        <f>(C3/B3)-1</f>
        <v>0.30375293197810782</v>
      </c>
      <c r="D4" s="15">
        <f>(D3/C3)-1</f>
        <v>0.28069298683991328</v>
      </c>
      <c r="E4" s="15">
        <f>(E3/D3)-1</f>
        <v>0.43764308012486985</v>
      </c>
      <c r="F4" s="15">
        <f t="shared" ref="F4:Q4" si="0">(F3/E3)-1</f>
        <v>0.42443406981162801</v>
      </c>
      <c r="G4" s="15">
        <f t="shared" si="0"/>
        <v>0.27632005183025599</v>
      </c>
      <c r="H4" s="16">
        <f t="shared" si="0"/>
        <v>0.21474569523240761</v>
      </c>
      <c r="I4" s="16">
        <f t="shared" si="0"/>
        <v>0.33944717339025199</v>
      </c>
      <c r="J4" s="16">
        <f t="shared" si="0"/>
        <v>0.25857096104261545</v>
      </c>
      <c r="K4" s="16">
        <f t="shared" si="0"/>
        <v>0.30114754815473677</v>
      </c>
      <c r="L4" s="16">
        <f t="shared" si="0"/>
        <v>0.27956272272900473</v>
      </c>
      <c r="M4" s="16">
        <f t="shared" si="0"/>
        <v>0.13110382245654906</v>
      </c>
      <c r="N4" s="16">
        <f t="shared" si="0"/>
        <v>0.15808491418247517</v>
      </c>
      <c r="O4" s="16">
        <f t="shared" si="0"/>
        <v>0.17116113215957207</v>
      </c>
      <c r="P4" s="16">
        <f t="shared" si="0"/>
        <v>0.12464319695528059</v>
      </c>
      <c r="Q4" s="16">
        <f t="shared" si="0"/>
        <v>7.5296108291032171E-2</v>
      </c>
      <c r="R4" s="17">
        <f>(L4+K4+J4)/3</f>
        <v>0.27976041064211898</v>
      </c>
      <c r="S4" s="17">
        <f>(L20+K20+J20)/3</f>
        <v>0.55130564982321595</v>
      </c>
      <c r="T4" s="17">
        <f>(L29+K29+J29)/3</f>
        <v>0.3894873150572582</v>
      </c>
      <c r="U4" s="17">
        <f>(L105+K105+J105)/3</f>
        <v>-1.2540323544754</v>
      </c>
    </row>
    <row r="5" spans="1:21" ht="19" x14ac:dyDescent="0.25">
      <c r="A5" s="5" t="s">
        <v>2</v>
      </c>
      <c r="B5" s="1">
        <v>8222000</v>
      </c>
      <c r="C5" s="1">
        <v>12878000</v>
      </c>
      <c r="D5" s="1">
        <v>18472000</v>
      </c>
      <c r="E5" s="1">
        <v>29244000</v>
      </c>
      <c r="F5" s="1">
        <v>39725000</v>
      </c>
      <c r="G5" s="1">
        <v>56910000</v>
      </c>
      <c r="H5" s="1">
        <v>71083000</v>
      </c>
      <c r="I5" s="1">
        <v>91146000</v>
      </c>
      <c r="J5" s="1">
        <v>121517000</v>
      </c>
      <c r="K5" s="1">
        <v>168948000</v>
      </c>
      <c r="L5" s="1">
        <v>214349000</v>
      </c>
    </row>
    <row r="6" spans="1:21" ht="20" x14ac:dyDescent="0.25">
      <c r="A6" s="6" t="s">
        <v>3</v>
      </c>
      <c r="B6" s="10">
        <v>37822000</v>
      </c>
      <c r="C6" s="10">
        <v>47152000</v>
      </c>
      <c r="D6" s="10">
        <v>58408000</v>
      </c>
      <c r="E6" s="10">
        <v>81282000</v>
      </c>
      <c r="F6" s="10">
        <v>117712000</v>
      </c>
      <c r="G6" s="10">
        <v>144030000</v>
      </c>
      <c r="H6" s="10">
        <v>173008000</v>
      </c>
      <c r="I6" s="10">
        <v>235801000</v>
      </c>
      <c r="J6" s="10">
        <v>289969000</v>
      </c>
      <c r="K6" s="10">
        <v>366456000</v>
      </c>
      <c r="L6" s="10">
        <v>470734000</v>
      </c>
      <c r="R6" s="18" t="s">
        <v>113</v>
      </c>
      <c r="S6" s="19" t="s">
        <v>114</v>
      </c>
      <c r="T6" s="19" t="s">
        <v>115</v>
      </c>
      <c r="U6" s="19" t="s">
        <v>116</v>
      </c>
    </row>
    <row r="7" spans="1:21" ht="19" x14ac:dyDescent="0.25">
      <c r="A7" s="5" t="s">
        <v>4</v>
      </c>
      <c r="B7" s="2">
        <v>0.82140000000000002</v>
      </c>
      <c r="C7" s="2">
        <v>0.78549999999999998</v>
      </c>
      <c r="D7" s="2">
        <v>0.75970000000000004</v>
      </c>
      <c r="E7" s="2">
        <v>0.73540000000000005</v>
      </c>
      <c r="F7" s="2">
        <v>0.74770000000000003</v>
      </c>
      <c r="G7" s="2">
        <v>0.71679999999999999</v>
      </c>
      <c r="H7" s="2">
        <v>0.70879999999999999</v>
      </c>
      <c r="I7" s="2">
        <v>0.72119999999999995</v>
      </c>
      <c r="J7" s="2">
        <v>0.70469999999999999</v>
      </c>
      <c r="K7" s="2">
        <v>0.68440000000000001</v>
      </c>
      <c r="L7" s="2">
        <v>0.68710000000000004</v>
      </c>
      <c r="R7" s="17">
        <f>L7</f>
        <v>0.68710000000000004</v>
      </c>
      <c r="S7" s="20">
        <f>L21</f>
        <v>-0.1026</v>
      </c>
      <c r="T7" s="20">
        <f>L30</f>
        <v>-0.182</v>
      </c>
      <c r="U7" s="20">
        <f>L106/L3</f>
        <v>5.9375287373938629E-2</v>
      </c>
    </row>
    <row r="8" spans="1:21" ht="19" x14ac:dyDescent="0.25">
      <c r="A8" s="5" t="s">
        <v>5</v>
      </c>
      <c r="B8" s="1">
        <v>17820000</v>
      </c>
      <c r="C8" s="1">
        <v>21411000</v>
      </c>
      <c r="D8" s="1">
        <v>25570000</v>
      </c>
      <c r="E8" s="1">
        <v>38746000</v>
      </c>
      <c r="F8" s="1">
        <v>47955000</v>
      </c>
      <c r="G8" s="1">
        <v>50938000</v>
      </c>
      <c r="H8" s="1">
        <v>67743000</v>
      </c>
      <c r="I8" s="1">
        <v>79364000</v>
      </c>
      <c r="J8" s="1">
        <v>108568000</v>
      </c>
      <c r="K8" s="1">
        <v>160779000</v>
      </c>
      <c r="L8" s="1">
        <v>189970000</v>
      </c>
    </row>
    <row r="9" spans="1:21" ht="19" customHeight="1" x14ac:dyDescent="0.25">
      <c r="A9" s="14" t="s">
        <v>95</v>
      </c>
      <c r="B9" s="15">
        <f>B8/B3</f>
        <v>0.38702111024237684</v>
      </c>
      <c r="C9" s="15">
        <f t="shared" ref="C9:L9" si="1">C8/C3</f>
        <v>0.35667166416791607</v>
      </c>
      <c r="D9" s="15">
        <f t="shared" si="1"/>
        <v>0.33259625390218522</v>
      </c>
      <c r="E9" s="15">
        <f t="shared" si="1"/>
        <v>0.35056004921918826</v>
      </c>
      <c r="F9" s="15">
        <f t="shared" si="1"/>
        <v>0.30459802968806571</v>
      </c>
      <c r="G9" s="15">
        <f t="shared" si="1"/>
        <v>0.25349855678311933</v>
      </c>
      <c r="H9" s="15">
        <f t="shared" si="1"/>
        <v>0.2775317402116424</v>
      </c>
      <c r="I9" s="15">
        <f t="shared" si="1"/>
        <v>0.24274270753363694</v>
      </c>
      <c r="J9" s="15">
        <f t="shared" si="1"/>
        <v>0.26384372736861034</v>
      </c>
      <c r="K9" s="15">
        <f t="shared" si="1"/>
        <v>0.30029473070802609</v>
      </c>
      <c r="L9" s="15">
        <f t="shared" si="1"/>
        <v>0.27729486792111319</v>
      </c>
      <c r="R9" s="18" t="s">
        <v>96</v>
      </c>
      <c r="S9" s="19" t="s">
        <v>97</v>
      </c>
      <c r="T9" s="19" t="s">
        <v>98</v>
      </c>
      <c r="U9" s="19" t="s">
        <v>99</v>
      </c>
    </row>
    <row r="10" spans="1:21" ht="19" x14ac:dyDescent="0.25">
      <c r="A10" s="5" t="s">
        <v>6</v>
      </c>
      <c r="B10" s="1">
        <v>9436000</v>
      </c>
      <c r="C10" s="1">
        <v>12586000</v>
      </c>
      <c r="D10" s="1">
        <v>12972000</v>
      </c>
      <c r="E10" s="1">
        <v>21731000</v>
      </c>
      <c r="F10" s="1">
        <v>28282000</v>
      </c>
      <c r="G10" s="1">
        <v>30293000</v>
      </c>
      <c r="H10" s="1">
        <v>34993000</v>
      </c>
      <c r="I10" s="1">
        <v>44710000</v>
      </c>
      <c r="J10" s="1">
        <v>59519000</v>
      </c>
      <c r="K10" s="1">
        <v>78289000</v>
      </c>
      <c r="L10" s="1">
        <v>84969000</v>
      </c>
      <c r="R10" s="17">
        <f>L9</f>
        <v>0.27729486792111319</v>
      </c>
      <c r="S10" s="20">
        <f>L13</f>
        <v>0.57274520021661612</v>
      </c>
      <c r="T10" s="20">
        <f>L80</f>
        <v>0.17501820947242888</v>
      </c>
      <c r="U10" s="20">
        <f>L89</f>
        <v>2.9751139642933775E-2</v>
      </c>
    </row>
    <row r="11" spans="1:21" ht="19" x14ac:dyDescent="0.25">
      <c r="A11" s="5" t="s">
        <v>7</v>
      </c>
      <c r="B11" s="1">
        <v>23278000</v>
      </c>
      <c r="C11" s="1">
        <v>31779000</v>
      </c>
      <c r="D11" s="1">
        <v>49007000</v>
      </c>
      <c r="E11" s="1">
        <v>67365000</v>
      </c>
      <c r="F11" s="1">
        <v>90524000</v>
      </c>
      <c r="G11" s="1">
        <v>111593000</v>
      </c>
      <c r="H11" s="1">
        <v>123310000</v>
      </c>
      <c r="I11" s="1">
        <v>157722000</v>
      </c>
      <c r="J11" s="1">
        <v>195981000</v>
      </c>
      <c r="K11" s="1">
        <v>247453000</v>
      </c>
      <c r="L11" s="1">
        <v>307409000</v>
      </c>
    </row>
    <row r="12" spans="1:21" ht="20" x14ac:dyDescent="0.25">
      <c r="A12" s="5" t="s">
        <v>8</v>
      </c>
      <c r="B12" s="1">
        <v>32714000</v>
      </c>
      <c r="C12" s="1">
        <v>44365000</v>
      </c>
      <c r="D12" s="1">
        <v>61979000</v>
      </c>
      <c r="E12" s="1">
        <v>89096000</v>
      </c>
      <c r="F12" s="1">
        <v>118806000</v>
      </c>
      <c r="G12" s="1">
        <v>141886000</v>
      </c>
      <c r="H12" s="1">
        <v>158303000</v>
      </c>
      <c r="I12" s="1">
        <v>202432000</v>
      </c>
      <c r="J12" s="1">
        <v>255500000</v>
      </c>
      <c r="K12" s="1">
        <v>325742000</v>
      </c>
      <c r="L12" s="1">
        <v>392378000</v>
      </c>
      <c r="R12" s="18" t="s">
        <v>117</v>
      </c>
      <c r="S12" s="19" t="s">
        <v>118</v>
      </c>
      <c r="T12" s="19" t="s">
        <v>119</v>
      </c>
      <c r="U12" s="19" t="s">
        <v>120</v>
      </c>
    </row>
    <row r="13" spans="1:21" ht="19" x14ac:dyDescent="0.25">
      <c r="A13" s="14" t="s">
        <v>100</v>
      </c>
      <c r="B13" s="15">
        <f>B12/B3</f>
        <v>0.71049430979063499</v>
      </c>
      <c r="C13" s="15">
        <f t="shared" ref="C13:L13" si="2">C12/C3</f>
        <v>0.7390471430951191</v>
      </c>
      <c r="D13" s="15">
        <f t="shared" si="2"/>
        <v>0.80617845993756498</v>
      </c>
      <c r="E13" s="15">
        <f t="shared" si="2"/>
        <v>0.8061089698351519</v>
      </c>
      <c r="F13" s="15">
        <f t="shared" si="2"/>
        <v>0.75462565978772467</v>
      </c>
      <c r="G13" s="15">
        <f t="shared" si="2"/>
        <v>0.70611127699810894</v>
      </c>
      <c r="H13" s="15">
        <f t="shared" si="2"/>
        <v>0.64854091302014416</v>
      </c>
      <c r="I13" s="15">
        <f t="shared" si="2"/>
        <v>0.61915845687527338</v>
      </c>
      <c r="J13" s="15">
        <f t="shared" si="2"/>
        <v>0.62092027432282026</v>
      </c>
      <c r="K13" s="15">
        <f t="shared" si="2"/>
        <v>0.60840412100021668</v>
      </c>
      <c r="L13" s="15">
        <f t="shared" si="2"/>
        <v>0.57274520021661612</v>
      </c>
      <c r="R13" s="17">
        <f>L28/L72</f>
        <v>1.0386678215100689</v>
      </c>
      <c r="S13" s="20">
        <f>L28/L54</f>
        <v>-9.1771763021241501E-2</v>
      </c>
      <c r="T13" s="20">
        <f>L22/(L72+L56+L61)</f>
        <v>-0.14052506471399936</v>
      </c>
      <c r="U13" s="21">
        <f>L67/L72</f>
        <v>-12.317945600213202</v>
      </c>
    </row>
    <row r="14" spans="1:21" ht="19" x14ac:dyDescent="0.25">
      <c r="A14" s="5" t="s">
        <v>9</v>
      </c>
      <c r="B14" s="1" t="s">
        <v>92</v>
      </c>
      <c r="C14" s="1" t="s">
        <v>92</v>
      </c>
      <c r="D14" s="1" t="s">
        <v>92</v>
      </c>
      <c r="E14" s="1" t="s">
        <v>92</v>
      </c>
      <c r="F14" s="1" t="s">
        <v>92</v>
      </c>
      <c r="G14" s="1" t="s">
        <v>92</v>
      </c>
      <c r="H14" s="1" t="s">
        <v>92</v>
      </c>
      <c r="I14" s="1" t="s">
        <v>92</v>
      </c>
      <c r="J14" s="1" t="s">
        <v>92</v>
      </c>
      <c r="K14" s="1" t="s">
        <v>92</v>
      </c>
      <c r="L14" s="1" t="s">
        <v>92</v>
      </c>
    </row>
    <row r="15" spans="1:21" ht="20" x14ac:dyDescent="0.25">
      <c r="A15" s="5" t="s">
        <v>10</v>
      </c>
      <c r="B15" s="1">
        <v>50534000</v>
      </c>
      <c r="C15" s="1">
        <v>65776000</v>
      </c>
      <c r="D15" s="1">
        <v>87549000</v>
      </c>
      <c r="E15" s="1">
        <v>127842000</v>
      </c>
      <c r="F15" s="1">
        <v>166761000</v>
      </c>
      <c r="G15" s="1">
        <v>192824000</v>
      </c>
      <c r="H15" s="1">
        <v>226046000</v>
      </c>
      <c r="I15" s="1">
        <v>281796000</v>
      </c>
      <c r="J15" s="1">
        <v>364068000</v>
      </c>
      <c r="K15" s="1">
        <v>486521000</v>
      </c>
      <c r="L15" s="1">
        <v>582348000</v>
      </c>
      <c r="R15" s="18" t="s">
        <v>121</v>
      </c>
      <c r="S15" s="19" t="s">
        <v>122</v>
      </c>
      <c r="T15" s="19" t="s">
        <v>123</v>
      </c>
      <c r="U15" s="19" t="s">
        <v>124</v>
      </c>
    </row>
    <row r="16" spans="1:21" ht="19" x14ac:dyDescent="0.25">
      <c r="A16" s="5" t="s">
        <v>11</v>
      </c>
      <c r="B16" s="1">
        <v>58756000</v>
      </c>
      <c r="C16" s="1">
        <v>78654000</v>
      </c>
      <c r="D16" s="1">
        <v>106021000</v>
      </c>
      <c r="E16" s="1">
        <v>157086000</v>
      </c>
      <c r="F16" s="1">
        <v>206486000</v>
      </c>
      <c r="G16" s="1">
        <v>249734000</v>
      </c>
      <c r="H16" s="1">
        <v>297129000</v>
      </c>
      <c r="I16" s="1">
        <v>372942000</v>
      </c>
      <c r="J16" s="1">
        <v>485585000</v>
      </c>
      <c r="K16" s="1">
        <v>655469000</v>
      </c>
      <c r="L16" s="1">
        <v>796697000</v>
      </c>
      <c r="R16" s="29">
        <f>(L35+K35+J35+I35+H35)/5</f>
        <v>6.4128558171754821E-2</v>
      </c>
      <c r="S16" s="30">
        <f>T101/L3</f>
        <v>3.9589672010544708</v>
      </c>
      <c r="T16" s="30">
        <f>T101/L28</f>
        <v>-21.747004233584835</v>
      </c>
      <c r="U16" s="31">
        <f>T101/L106</f>
        <v>66.677019617965925</v>
      </c>
    </row>
    <row r="17" spans="1:18" ht="19" x14ac:dyDescent="0.25">
      <c r="A17" s="5" t="s">
        <v>12</v>
      </c>
      <c r="B17" s="1" t="s">
        <v>92</v>
      </c>
      <c r="C17" s="1" t="s">
        <v>92</v>
      </c>
      <c r="D17" s="1" t="s">
        <v>92</v>
      </c>
      <c r="E17" s="1" t="s">
        <v>92</v>
      </c>
      <c r="F17" s="1" t="s">
        <v>92</v>
      </c>
      <c r="G17" s="1" t="s">
        <v>92</v>
      </c>
      <c r="H17" s="1">
        <v>4934000</v>
      </c>
      <c r="I17" s="1">
        <v>13389000</v>
      </c>
      <c r="J17" s="1">
        <v>24137000</v>
      </c>
      <c r="K17" s="1">
        <v>14292000</v>
      </c>
      <c r="L17" s="1">
        <v>10982000</v>
      </c>
    </row>
    <row r="18" spans="1:18" ht="20" x14ac:dyDescent="0.25">
      <c r="A18" s="5" t="s">
        <v>13</v>
      </c>
      <c r="B18" s="1">
        <v>1529000</v>
      </c>
      <c r="C18" s="1">
        <v>2631000</v>
      </c>
      <c r="D18" s="1">
        <v>4140000</v>
      </c>
      <c r="E18" s="1">
        <v>5352000</v>
      </c>
      <c r="F18" s="1">
        <v>6725000</v>
      </c>
      <c r="G18" s="1">
        <v>7628000</v>
      </c>
      <c r="H18" s="1">
        <v>11097000</v>
      </c>
      <c r="I18" s="1">
        <v>16528000</v>
      </c>
      <c r="J18" s="1">
        <v>22631000</v>
      </c>
      <c r="K18" s="1">
        <v>33501000</v>
      </c>
      <c r="L18" s="1">
        <v>41038000</v>
      </c>
      <c r="R18" s="18" t="s">
        <v>125</v>
      </c>
    </row>
    <row r="19" spans="1:18" ht="19" x14ac:dyDescent="0.25">
      <c r="A19" s="6" t="s">
        <v>14</v>
      </c>
      <c r="B19" s="10">
        <v>-11283000</v>
      </c>
      <c r="C19" s="10">
        <v>-16072000</v>
      </c>
      <c r="D19" s="10">
        <v>-28108000</v>
      </c>
      <c r="E19" s="10">
        <v>-44009000</v>
      </c>
      <c r="F19" s="10">
        <v>-42302000</v>
      </c>
      <c r="G19" s="10">
        <v>-40078000</v>
      </c>
      <c r="H19" s="10">
        <v>-39048000</v>
      </c>
      <c r="I19" s="10">
        <v>-23886000</v>
      </c>
      <c r="J19" s="10">
        <v>-50095000</v>
      </c>
      <c r="K19" s="10">
        <v>-88120000</v>
      </c>
      <c r="L19" s="10">
        <v>-70285000</v>
      </c>
      <c r="R19" s="32">
        <f>L40-L56-L61</f>
        <v>-622889000</v>
      </c>
    </row>
    <row r="20" spans="1:18" ht="19" customHeight="1" x14ac:dyDescent="0.25">
      <c r="A20" s="14" t="s">
        <v>101</v>
      </c>
      <c r="B20" s="1"/>
      <c r="C20" s="15">
        <f>(C19/B19)-1</f>
        <v>0.42444385358503944</v>
      </c>
      <c r="D20" s="15">
        <f>(D19/C19)-1</f>
        <v>0.74888003982080642</v>
      </c>
      <c r="E20" s="15">
        <f>(E19/D19)-1</f>
        <v>0.56571082965703723</v>
      </c>
      <c r="F20" s="15">
        <f t="shared" ref="F20:L20" si="3">(F19/E19)-1</f>
        <v>-3.8787520734395287E-2</v>
      </c>
      <c r="G20" s="15">
        <f t="shared" si="3"/>
        <v>-5.2574346366602076E-2</v>
      </c>
      <c r="H20" s="15">
        <f t="shared" si="3"/>
        <v>-2.5699885223813612E-2</v>
      </c>
      <c r="I20" s="15">
        <f t="shared" si="3"/>
        <v>-0.38829133374308544</v>
      </c>
      <c r="J20" s="15">
        <f t="shared" si="3"/>
        <v>1.0972536213681656</v>
      </c>
      <c r="K20" s="15">
        <f t="shared" si="3"/>
        <v>0.75905779019862263</v>
      </c>
      <c r="L20" s="15">
        <f t="shared" si="3"/>
        <v>-0.20239446209714029</v>
      </c>
    </row>
    <row r="21" spans="1:18" ht="19" x14ac:dyDescent="0.25">
      <c r="A21" s="5" t="s">
        <v>15</v>
      </c>
      <c r="B21" s="2">
        <v>-0.245</v>
      </c>
      <c r="C21" s="2">
        <v>-0.26769999999999999</v>
      </c>
      <c r="D21" s="2">
        <v>-0.36559999999999998</v>
      </c>
      <c r="E21" s="2">
        <v>-0.3982</v>
      </c>
      <c r="F21" s="2">
        <v>-0.26869999999999999</v>
      </c>
      <c r="G21" s="2">
        <v>-0.19950000000000001</v>
      </c>
      <c r="H21" s="2">
        <v>-0.16</v>
      </c>
      <c r="I21" s="2">
        <v>-7.3099999999999998E-2</v>
      </c>
      <c r="J21" s="2">
        <v>-0.1217</v>
      </c>
      <c r="K21" s="2">
        <v>-0.1646</v>
      </c>
      <c r="L21" s="2">
        <v>-0.1026</v>
      </c>
    </row>
    <row r="22" spans="1:18" ht="19" x14ac:dyDescent="0.25">
      <c r="A22" s="6" t="s">
        <v>16</v>
      </c>
      <c r="B22" s="10">
        <v>-12712000</v>
      </c>
      <c r="C22" s="10">
        <v>-18624000</v>
      </c>
      <c r="D22" s="10">
        <v>-29141000</v>
      </c>
      <c r="E22" s="10">
        <v>-46560000</v>
      </c>
      <c r="F22" s="10">
        <v>-49049000</v>
      </c>
      <c r="G22" s="10">
        <v>-48794000</v>
      </c>
      <c r="H22" s="10">
        <v>-53038000</v>
      </c>
      <c r="I22" s="10">
        <v>-45995000</v>
      </c>
      <c r="J22" s="10">
        <v>-74099000</v>
      </c>
      <c r="K22" s="10">
        <v>-120065000</v>
      </c>
      <c r="L22" s="10">
        <v>-111614000</v>
      </c>
    </row>
    <row r="23" spans="1:18" ht="19" x14ac:dyDescent="0.25">
      <c r="A23" s="5" t="s">
        <v>17</v>
      </c>
      <c r="B23" s="2">
        <v>-0.27610000000000001</v>
      </c>
      <c r="C23" s="2">
        <v>-0.31019999999999998</v>
      </c>
      <c r="D23" s="2">
        <v>-0.379</v>
      </c>
      <c r="E23" s="2">
        <v>-0.42130000000000001</v>
      </c>
      <c r="F23" s="2">
        <v>-0.3115</v>
      </c>
      <c r="G23" s="2">
        <v>-0.24279999999999999</v>
      </c>
      <c r="H23" s="2">
        <v>-0.21729999999999999</v>
      </c>
      <c r="I23" s="2">
        <v>-0.14069999999999999</v>
      </c>
      <c r="J23" s="2">
        <v>-0.18010000000000001</v>
      </c>
      <c r="K23" s="2">
        <v>-0.2243</v>
      </c>
      <c r="L23" s="2">
        <v>-0.16289999999999999</v>
      </c>
    </row>
    <row r="24" spans="1:18" ht="19" x14ac:dyDescent="0.25">
      <c r="A24" s="5" t="s">
        <v>18</v>
      </c>
      <c r="B24" s="1">
        <v>-100000</v>
      </c>
      <c r="C24" s="1">
        <v>-79000</v>
      </c>
      <c r="D24" s="1">
        <v>-3107000</v>
      </c>
      <c r="E24" s="1">
        <v>-2801000</v>
      </c>
      <c r="F24" s="1">
        <v>22000</v>
      </c>
      <c r="G24" s="1">
        <v>1088000</v>
      </c>
      <c r="H24" s="1">
        <v>-2041000</v>
      </c>
      <c r="I24" s="1">
        <v>-7808000</v>
      </c>
      <c r="J24" s="1">
        <v>-22764000</v>
      </c>
      <c r="K24" s="1">
        <v>-15848000</v>
      </c>
      <c r="L24" s="1">
        <v>-10691000</v>
      </c>
    </row>
    <row r="25" spans="1:18" ht="19" x14ac:dyDescent="0.25">
      <c r="A25" s="6" t="s">
        <v>19</v>
      </c>
      <c r="B25" s="10">
        <v>-12812000</v>
      </c>
      <c r="C25" s="10">
        <v>-18703000</v>
      </c>
      <c r="D25" s="10">
        <v>-32248000</v>
      </c>
      <c r="E25" s="10">
        <v>-49361000</v>
      </c>
      <c r="F25" s="10">
        <v>-49027000</v>
      </c>
      <c r="G25" s="10">
        <v>-47706000</v>
      </c>
      <c r="H25" s="10">
        <v>-55079000</v>
      </c>
      <c r="I25" s="10">
        <v>-53803000</v>
      </c>
      <c r="J25" s="10">
        <v>-96863000</v>
      </c>
      <c r="K25" s="10">
        <v>-135913000</v>
      </c>
      <c r="L25" s="10">
        <v>-122305000</v>
      </c>
    </row>
    <row r="26" spans="1:18" ht="19" x14ac:dyDescent="0.25">
      <c r="A26" s="5" t="s">
        <v>20</v>
      </c>
      <c r="B26" s="2">
        <v>-0.27829999999999999</v>
      </c>
      <c r="C26" s="2">
        <v>-0.31159999999999999</v>
      </c>
      <c r="D26" s="2">
        <v>-0.41949999999999998</v>
      </c>
      <c r="E26" s="2">
        <v>-0.4466</v>
      </c>
      <c r="F26" s="2">
        <v>-0.31140000000000001</v>
      </c>
      <c r="G26" s="2">
        <v>-0.2374</v>
      </c>
      <c r="H26" s="2">
        <v>-0.22559999999999999</v>
      </c>
      <c r="I26" s="2">
        <v>-0.1646</v>
      </c>
      <c r="J26" s="2">
        <v>-0.2354</v>
      </c>
      <c r="K26" s="2">
        <v>-0.25390000000000001</v>
      </c>
      <c r="L26" s="2">
        <v>-0.17849999999999999</v>
      </c>
    </row>
    <row r="27" spans="1:18" ht="19" x14ac:dyDescent="0.25">
      <c r="A27" s="5" t="s">
        <v>21</v>
      </c>
      <c r="B27" s="1">
        <v>-418000</v>
      </c>
      <c r="C27" s="1">
        <v>170000</v>
      </c>
      <c r="D27" s="1">
        <v>379000</v>
      </c>
      <c r="E27" s="1">
        <v>496000</v>
      </c>
      <c r="F27" s="1">
        <v>-27000</v>
      </c>
      <c r="G27" s="1">
        <v>-2236000</v>
      </c>
      <c r="H27" s="1">
        <v>466000</v>
      </c>
      <c r="I27" s="1">
        <v>42000</v>
      </c>
      <c r="J27" s="1">
        <v>1986000</v>
      </c>
      <c r="K27" s="1">
        <v>10421000</v>
      </c>
      <c r="L27" s="1">
        <v>2412000</v>
      </c>
    </row>
    <row r="28" spans="1:18" ht="20" thickBot="1" x14ac:dyDescent="0.3">
      <c r="A28" s="7" t="s">
        <v>22</v>
      </c>
      <c r="B28" s="11">
        <v>-12394000</v>
      </c>
      <c r="C28" s="11">
        <v>-18873000</v>
      </c>
      <c r="D28" s="11">
        <v>-32627000</v>
      </c>
      <c r="E28" s="11">
        <v>-49857000</v>
      </c>
      <c r="F28" s="11">
        <v>-49000000</v>
      </c>
      <c r="G28" s="11">
        <v>-45470000</v>
      </c>
      <c r="H28" s="11">
        <v>-55545000</v>
      </c>
      <c r="I28" s="11">
        <v>-53845000</v>
      </c>
      <c r="J28" s="11">
        <v>-98849000</v>
      </c>
      <c r="K28" s="11">
        <v>-146334000</v>
      </c>
      <c r="L28" s="11">
        <v>-124717000</v>
      </c>
    </row>
    <row r="29" spans="1:18" ht="20" customHeight="1" thickTop="1" x14ac:dyDescent="0.25">
      <c r="A29" s="14" t="s">
        <v>102</v>
      </c>
      <c r="B29" s="1"/>
      <c r="C29" s="15">
        <f>(C28/B28)-1</f>
        <v>0.52275294497337432</v>
      </c>
      <c r="D29" s="15">
        <f>(D28/C28)-1</f>
        <v>0.72876596195623367</v>
      </c>
      <c r="E29" s="15">
        <f>(E28/D28)-1</f>
        <v>0.52809023201642802</v>
      </c>
      <c r="F29" s="15">
        <f t="shared" ref="F29:L29" si="4">(F28/E28)-1</f>
        <v>-1.7189161000461306E-2</v>
      </c>
      <c r="G29" s="15">
        <f t="shared" si="4"/>
        <v>-7.2040816326530588E-2</v>
      </c>
      <c r="H29" s="15">
        <f t="shared" si="4"/>
        <v>0.2215746646140313</v>
      </c>
      <c r="I29" s="15">
        <f t="shared" si="4"/>
        <v>-3.0605815104869927E-2</v>
      </c>
      <c r="J29" s="15">
        <f t="shared" si="4"/>
        <v>0.83580648156746218</v>
      </c>
      <c r="K29" s="15">
        <f t="shared" si="4"/>
        <v>0.48037916417970838</v>
      </c>
      <c r="L29" s="15">
        <f t="shared" si="4"/>
        <v>-0.14772370057539597</v>
      </c>
    </row>
    <row r="30" spans="1:18" ht="19" x14ac:dyDescent="0.25">
      <c r="A30" s="5" t="s">
        <v>23</v>
      </c>
      <c r="B30" s="2">
        <v>-0.26919999999999999</v>
      </c>
      <c r="C30" s="2">
        <v>-0.31440000000000001</v>
      </c>
      <c r="D30" s="2">
        <v>-0.4244</v>
      </c>
      <c r="E30" s="2">
        <v>-0.4511</v>
      </c>
      <c r="F30" s="2">
        <v>-0.31119999999999998</v>
      </c>
      <c r="G30" s="2">
        <v>-0.2263</v>
      </c>
      <c r="H30" s="2">
        <v>-0.2276</v>
      </c>
      <c r="I30" s="2">
        <v>-0.16470000000000001</v>
      </c>
      <c r="J30" s="2">
        <v>-0.2402</v>
      </c>
      <c r="K30" s="2">
        <v>-0.27329999999999999</v>
      </c>
      <c r="L30" s="2">
        <v>-0.182</v>
      </c>
    </row>
    <row r="31" spans="1:18" ht="19" x14ac:dyDescent="0.25">
      <c r="A31" s="5" t="s">
        <v>24</v>
      </c>
      <c r="B31" s="12">
        <v>-0.46</v>
      </c>
      <c r="C31" s="12">
        <v>-0.61</v>
      </c>
      <c r="D31" s="12">
        <v>-1.22</v>
      </c>
      <c r="E31" s="12">
        <v>-2.02</v>
      </c>
      <c r="F31" s="12">
        <v>-1.19</v>
      </c>
      <c r="G31" s="12">
        <v>-1.06</v>
      </c>
      <c r="H31" s="12">
        <v>-1.2</v>
      </c>
      <c r="I31" s="12">
        <v>-1.1000000000000001</v>
      </c>
      <c r="J31" s="12">
        <v>-1.94</v>
      </c>
      <c r="K31" s="12">
        <v>-2.61</v>
      </c>
      <c r="L31" s="12">
        <v>-2.13</v>
      </c>
    </row>
    <row r="32" spans="1:18" ht="19" x14ac:dyDescent="0.25">
      <c r="A32" s="5" t="s">
        <v>25</v>
      </c>
      <c r="B32" s="12">
        <v>-0.46</v>
      </c>
      <c r="C32" s="12">
        <v>-0.61</v>
      </c>
      <c r="D32" s="12">
        <v>-1.22</v>
      </c>
      <c r="E32" s="12">
        <v>-2.02</v>
      </c>
      <c r="F32" s="12">
        <v>-1.19</v>
      </c>
      <c r="G32" s="12">
        <v>-1.06</v>
      </c>
      <c r="H32" s="12">
        <v>-1.2</v>
      </c>
      <c r="I32" s="12">
        <v>-1.1000000000000001</v>
      </c>
      <c r="J32" s="12">
        <v>-1.94</v>
      </c>
      <c r="K32" s="12">
        <v>-2.61</v>
      </c>
      <c r="L32" s="12">
        <v>-2.13</v>
      </c>
    </row>
    <row r="33" spans="1:12" ht="19" x14ac:dyDescent="0.25">
      <c r="A33" s="5" t="s">
        <v>26</v>
      </c>
      <c r="B33" s="1">
        <v>26742901</v>
      </c>
      <c r="C33" s="1">
        <v>30964803</v>
      </c>
      <c r="D33" s="1">
        <v>26742901</v>
      </c>
      <c r="E33" s="1">
        <v>24740480</v>
      </c>
      <c r="F33" s="1">
        <v>41248473</v>
      </c>
      <c r="G33" s="1">
        <v>42952950</v>
      </c>
      <c r="H33" s="1">
        <v>46456825</v>
      </c>
      <c r="I33" s="1">
        <v>48731791</v>
      </c>
      <c r="J33" s="1">
        <v>51036824</v>
      </c>
      <c r="K33" s="1">
        <v>55976671</v>
      </c>
      <c r="L33" s="1">
        <v>58552065</v>
      </c>
    </row>
    <row r="34" spans="1:12" ht="19" x14ac:dyDescent="0.25">
      <c r="A34" s="5" t="s">
        <v>27</v>
      </c>
      <c r="B34" s="1">
        <v>26742901</v>
      </c>
      <c r="C34" s="1">
        <v>30964803</v>
      </c>
      <c r="D34" s="1">
        <v>26742901</v>
      </c>
      <c r="E34" s="1">
        <v>24740480</v>
      </c>
      <c r="F34" s="1">
        <v>41248473</v>
      </c>
      <c r="G34" s="1">
        <v>42952950</v>
      </c>
      <c r="H34" s="1">
        <v>46456825</v>
      </c>
      <c r="I34" s="1">
        <v>48731791</v>
      </c>
      <c r="J34" s="1">
        <v>51036824</v>
      </c>
      <c r="K34" s="1">
        <v>55976671</v>
      </c>
      <c r="L34" s="1">
        <v>58552065</v>
      </c>
    </row>
    <row r="35" spans="1:12" ht="20" customHeight="1" x14ac:dyDescent="0.25">
      <c r="A35" s="14" t="s">
        <v>103</v>
      </c>
      <c r="B35" s="1"/>
      <c r="C35" s="22">
        <f>(C34-B34)/B34</f>
        <v>0.15787000819395025</v>
      </c>
      <c r="D35" s="22">
        <f t="shared" ref="D35:L35" si="5">(D34-C34)/C34</f>
        <v>-0.13634519166810136</v>
      </c>
      <c r="E35" s="22">
        <f t="shared" si="5"/>
        <v>-7.4876730837839925E-2</v>
      </c>
      <c r="F35" s="22">
        <f t="shared" si="5"/>
        <v>0.66724627008045112</v>
      </c>
      <c r="G35" s="22">
        <f t="shared" si="5"/>
        <v>4.132218421758304E-2</v>
      </c>
      <c r="H35" s="22">
        <f t="shared" si="5"/>
        <v>8.1574723039977468E-2</v>
      </c>
      <c r="I35" s="22">
        <f t="shared" si="5"/>
        <v>4.8969467887656978E-2</v>
      </c>
      <c r="J35" s="22">
        <f t="shared" si="5"/>
        <v>4.7300395751923012E-2</v>
      </c>
      <c r="K35" s="22">
        <f t="shared" si="5"/>
        <v>9.6789859024143041E-2</v>
      </c>
      <c r="L35" s="22">
        <f t="shared" si="5"/>
        <v>4.600834515507362E-2</v>
      </c>
    </row>
    <row r="36" spans="1:12" ht="19" x14ac:dyDescent="0.25">
      <c r="A36" s="5" t="s">
        <v>28</v>
      </c>
      <c r="B36" s="13" t="s">
        <v>93</v>
      </c>
      <c r="C36" s="13" t="s">
        <v>93</v>
      </c>
      <c r="D36" s="13" t="s">
        <v>93</v>
      </c>
      <c r="E36" s="13" t="s">
        <v>93</v>
      </c>
      <c r="F36" s="13" t="s">
        <v>93</v>
      </c>
      <c r="G36" s="13" t="s">
        <v>93</v>
      </c>
      <c r="H36" s="13" t="s">
        <v>93</v>
      </c>
      <c r="I36" s="13" t="s">
        <v>93</v>
      </c>
      <c r="J36" s="13" t="s">
        <v>93</v>
      </c>
      <c r="K36" s="13" t="s">
        <v>93</v>
      </c>
      <c r="L36" s="13" t="s">
        <v>93</v>
      </c>
    </row>
    <row r="37" spans="1:12" ht="21" x14ac:dyDescent="0.25">
      <c r="A37" s="4" t="s">
        <v>29</v>
      </c>
      <c r="B37" s="9" t="s">
        <v>91</v>
      </c>
      <c r="C37" s="9" t="s">
        <v>91</v>
      </c>
      <c r="D37" s="9" t="s">
        <v>91</v>
      </c>
      <c r="E37" s="9" t="s">
        <v>91</v>
      </c>
      <c r="F37" s="9" t="s">
        <v>91</v>
      </c>
      <c r="G37" s="9" t="s">
        <v>91</v>
      </c>
      <c r="H37" s="9" t="s">
        <v>91</v>
      </c>
      <c r="I37" s="9" t="s">
        <v>91</v>
      </c>
      <c r="J37" s="9" t="s">
        <v>91</v>
      </c>
      <c r="K37" s="9" t="s">
        <v>91</v>
      </c>
      <c r="L37" s="9" t="s">
        <v>91</v>
      </c>
    </row>
    <row r="38" spans="1:12" ht="19" x14ac:dyDescent="0.25">
      <c r="A38" s="5" t="s">
        <v>30</v>
      </c>
      <c r="B38" s="1" t="s">
        <v>92</v>
      </c>
      <c r="C38" s="1">
        <v>20612000</v>
      </c>
      <c r="D38" s="1">
        <v>36823000</v>
      </c>
      <c r="E38" s="1">
        <v>86553000</v>
      </c>
      <c r="F38" s="1">
        <v>53148000</v>
      </c>
      <c r="G38" s="1">
        <v>51562000</v>
      </c>
      <c r="H38" s="1">
        <v>99565000</v>
      </c>
      <c r="I38" s="1">
        <v>123413000</v>
      </c>
      <c r="J38" s="1">
        <v>173617000</v>
      </c>
      <c r="K38" s="1">
        <v>164582000</v>
      </c>
      <c r="L38" s="1">
        <v>207287000</v>
      </c>
    </row>
    <row r="39" spans="1:12" ht="19" x14ac:dyDescent="0.25">
      <c r="A39" s="5" t="s">
        <v>31</v>
      </c>
      <c r="B39" s="1" t="s">
        <v>92</v>
      </c>
      <c r="C39" s="1" t="s">
        <v>92</v>
      </c>
      <c r="D39" s="1" t="s">
        <v>92</v>
      </c>
      <c r="E39" s="1" t="s">
        <v>92</v>
      </c>
      <c r="F39" s="1">
        <v>18779000</v>
      </c>
      <c r="G39" s="1">
        <v>39178000</v>
      </c>
      <c r="H39" s="1">
        <v>159210000</v>
      </c>
      <c r="I39" s="1">
        <v>116158000</v>
      </c>
      <c r="J39" s="1">
        <v>138839000</v>
      </c>
      <c r="K39" s="1">
        <v>58850000</v>
      </c>
      <c r="L39" s="1">
        <v>84162000</v>
      </c>
    </row>
    <row r="40" spans="1:12" ht="19" x14ac:dyDescent="0.25">
      <c r="A40" s="5" t="s">
        <v>32</v>
      </c>
      <c r="B40" s="1" t="s">
        <v>92</v>
      </c>
      <c r="C40" s="1">
        <v>20612000</v>
      </c>
      <c r="D40" s="1">
        <v>36823000</v>
      </c>
      <c r="E40" s="1">
        <v>86553000</v>
      </c>
      <c r="F40" s="1">
        <v>71927000</v>
      </c>
      <c r="G40" s="1">
        <v>90740000</v>
      </c>
      <c r="H40" s="1">
        <v>258775000</v>
      </c>
      <c r="I40" s="1">
        <v>239571000</v>
      </c>
      <c r="J40" s="1">
        <v>312456000</v>
      </c>
      <c r="K40" s="1">
        <v>223432000</v>
      </c>
      <c r="L40" s="1">
        <v>291449000</v>
      </c>
    </row>
    <row r="41" spans="1:12" ht="19" x14ac:dyDescent="0.25">
      <c r="A41" s="5" t="s">
        <v>33</v>
      </c>
      <c r="B41" s="1" t="s">
        <v>92</v>
      </c>
      <c r="C41" s="1">
        <v>19475000</v>
      </c>
      <c r="D41" s="1">
        <v>25412000</v>
      </c>
      <c r="E41" s="1">
        <v>44164000</v>
      </c>
      <c r="F41" s="1">
        <v>49154000</v>
      </c>
      <c r="G41" s="1">
        <v>73661000</v>
      </c>
      <c r="H41" s="1">
        <v>74935000</v>
      </c>
      <c r="I41" s="1">
        <v>87927000</v>
      </c>
      <c r="J41" s="1">
        <v>111599000</v>
      </c>
      <c r="K41" s="1">
        <v>146094000</v>
      </c>
      <c r="L41" s="1">
        <v>152045000</v>
      </c>
    </row>
    <row r="42" spans="1:12" ht="19" x14ac:dyDescent="0.25">
      <c r="A42" s="5" t="s">
        <v>34</v>
      </c>
      <c r="B42" s="1" t="s">
        <v>92</v>
      </c>
      <c r="C42" s="1" t="s">
        <v>92</v>
      </c>
      <c r="D42" s="1" t="s">
        <v>92</v>
      </c>
      <c r="E42" s="1" t="s">
        <v>92</v>
      </c>
      <c r="F42" s="1" t="s">
        <v>92</v>
      </c>
      <c r="G42" s="1" t="s">
        <v>92</v>
      </c>
      <c r="H42" s="1" t="s">
        <v>92</v>
      </c>
      <c r="I42" s="1" t="s">
        <v>92</v>
      </c>
      <c r="J42" s="1" t="s">
        <v>92</v>
      </c>
      <c r="K42" s="1" t="s">
        <v>92</v>
      </c>
      <c r="L42" s="1" t="s">
        <v>92</v>
      </c>
    </row>
    <row r="43" spans="1:12" ht="19" x14ac:dyDescent="0.25">
      <c r="A43" s="5" t="s">
        <v>35</v>
      </c>
      <c r="B43" s="1" t="s">
        <v>92</v>
      </c>
      <c r="C43" s="1">
        <v>2023000</v>
      </c>
      <c r="D43" s="1">
        <v>4209000</v>
      </c>
      <c r="E43" s="1">
        <v>6148000</v>
      </c>
      <c r="F43" s="1">
        <v>9152000</v>
      </c>
      <c r="G43" s="1">
        <v>8877000</v>
      </c>
      <c r="H43" s="1">
        <v>22067000</v>
      </c>
      <c r="I43" s="1">
        <v>37098000</v>
      </c>
      <c r="J43" s="1">
        <v>49380000</v>
      </c>
      <c r="K43" s="1">
        <v>63210000</v>
      </c>
      <c r="L43" s="1">
        <v>66813000</v>
      </c>
    </row>
    <row r="44" spans="1:12" ht="19" x14ac:dyDescent="0.25">
      <c r="A44" s="6" t="s">
        <v>36</v>
      </c>
      <c r="B44" s="10" t="s">
        <v>92</v>
      </c>
      <c r="C44" s="10">
        <v>42110000</v>
      </c>
      <c r="D44" s="10">
        <v>66444000</v>
      </c>
      <c r="E44" s="10">
        <v>136865000</v>
      </c>
      <c r="F44" s="10">
        <v>130233000</v>
      </c>
      <c r="G44" s="10">
        <v>173278000</v>
      </c>
      <c r="H44" s="10">
        <v>355777000</v>
      </c>
      <c r="I44" s="10">
        <v>364596000</v>
      </c>
      <c r="J44" s="10">
        <v>473435000</v>
      </c>
      <c r="K44" s="10">
        <v>432736000</v>
      </c>
      <c r="L44" s="10">
        <v>510307000</v>
      </c>
    </row>
    <row r="45" spans="1:12" ht="19" x14ac:dyDescent="0.25">
      <c r="A45" s="5" t="s">
        <v>37</v>
      </c>
      <c r="B45" s="1" t="s">
        <v>92</v>
      </c>
      <c r="C45" s="1">
        <v>4278000</v>
      </c>
      <c r="D45" s="1">
        <v>7922000</v>
      </c>
      <c r="E45" s="1">
        <v>7532000</v>
      </c>
      <c r="F45" s="1">
        <v>8088000</v>
      </c>
      <c r="G45" s="1">
        <v>8589000</v>
      </c>
      <c r="H45" s="1">
        <v>17523000</v>
      </c>
      <c r="I45" s="1">
        <v>111654000</v>
      </c>
      <c r="J45" s="1">
        <v>120292000</v>
      </c>
      <c r="K45" s="1">
        <v>133976000</v>
      </c>
      <c r="L45" s="1">
        <v>137233000</v>
      </c>
    </row>
    <row r="46" spans="1:12" ht="19" x14ac:dyDescent="0.25">
      <c r="A46" s="5" t="s">
        <v>38</v>
      </c>
      <c r="B46" s="1" t="s">
        <v>92</v>
      </c>
      <c r="C46" s="1">
        <v>11265000</v>
      </c>
      <c r="D46" s="1">
        <v>11265000</v>
      </c>
      <c r="E46" s="1">
        <v>74565000</v>
      </c>
      <c r="F46" s="1">
        <v>75110000</v>
      </c>
      <c r="G46" s="1">
        <v>83164000</v>
      </c>
      <c r="H46" s="1">
        <v>88420000</v>
      </c>
      <c r="I46" s="1">
        <v>97866000</v>
      </c>
      <c r="J46" s="1">
        <v>213601000</v>
      </c>
      <c r="K46" s="1">
        <v>515258000</v>
      </c>
      <c r="L46" s="1">
        <v>515631000</v>
      </c>
    </row>
    <row r="47" spans="1:12" ht="19" x14ac:dyDescent="0.25">
      <c r="A47" s="5" t="s">
        <v>39</v>
      </c>
      <c r="B47" s="1" t="s">
        <v>92</v>
      </c>
      <c r="C47" s="1">
        <v>2025000</v>
      </c>
      <c r="D47" s="1">
        <v>1156000</v>
      </c>
      <c r="E47" s="1">
        <v>11385000</v>
      </c>
      <c r="F47" s="1">
        <v>8946000</v>
      </c>
      <c r="G47" s="1">
        <v>16640000</v>
      </c>
      <c r="H47" s="1">
        <v>23955000</v>
      </c>
      <c r="I47" s="1">
        <v>28561000</v>
      </c>
      <c r="J47" s="1">
        <v>44296000</v>
      </c>
      <c r="K47" s="1">
        <v>111591000</v>
      </c>
      <c r="L47" s="1">
        <v>101269000</v>
      </c>
    </row>
    <row r="48" spans="1:12" ht="19" x14ac:dyDescent="0.25">
      <c r="A48" s="5" t="s">
        <v>40</v>
      </c>
      <c r="B48" s="1" t="s">
        <v>92</v>
      </c>
      <c r="C48" s="1">
        <v>13290000</v>
      </c>
      <c r="D48" s="1">
        <v>12421000</v>
      </c>
      <c r="E48" s="1">
        <v>85950000</v>
      </c>
      <c r="F48" s="1">
        <v>84056000</v>
      </c>
      <c r="G48" s="1">
        <v>99804000</v>
      </c>
      <c r="H48" s="1">
        <v>112375000</v>
      </c>
      <c r="I48" s="1">
        <v>126427000</v>
      </c>
      <c r="J48" s="1">
        <v>257897000</v>
      </c>
      <c r="K48" s="1">
        <v>626849000</v>
      </c>
      <c r="L48" s="1">
        <v>616900000</v>
      </c>
    </row>
    <row r="49" spans="1:12" ht="19" x14ac:dyDescent="0.25">
      <c r="A49" s="5" t="s">
        <v>41</v>
      </c>
      <c r="B49" s="1" t="s">
        <v>92</v>
      </c>
      <c r="C49" s="1" t="s">
        <v>92</v>
      </c>
      <c r="D49" s="1" t="s">
        <v>92</v>
      </c>
      <c r="E49" s="1" t="s">
        <v>92</v>
      </c>
      <c r="F49" s="1">
        <v>20162000</v>
      </c>
      <c r="G49" s="1">
        <v>1102000</v>
      </c>
      <c r="H49" s="1">
        <v>44892000</v>
      </c>
      <c r="I49" s="1">
        <v>22887000</v>
      </c>
      <c r="J49" s="1">
        <v>10124000</v>
      </c>
      <c r="K49" s="1">
        <v>34068000</v>
      </c>
      <c r="L49" s="1">
        <v>9756000</v>
      </c>
    </row>
    <row r="50" spans="1:12" ht="19" x14ac:dyDescent="0.25">
      <c r="A50" s="5" t="s">
        <v>42</v>
      </c>
      <c r="B50" s="1" t="s">
        <v>92</v>
      </c>
      <c r="C50" s="1" t="s">
        <v>92</v>
      </c>
      <c r="D50" s="1" t="s">
        <v>92</v>
      </c>
      <c r="E50" s="1" t="s">
        <v>92</v>
      </c>
      <c r="F50" s="1" t="s">
        <v>92</v>
      </c>
      <c r="G50" s="1" t="s">
        <v>92</v>
      </c>
      <c r="H50" s="1" t="s">
        <v>92</v>
      </c>
      <c r="I50" s="1" t="s">
        <v>92</v>
      </c>
      <c r="J50" s="1" t="s">
        <v>92</v>
      </c>
      <c r="K50" s="1" t="s">
        <v>92</v>
      </c>
      <c r="L50" s="1" t="s">
        <v>92</v>
      </c>
    </row>
    <row r="51" spans="1:12" ht="19" x14ac:dyDescent="0.25">
      <c r="A51" s="5" t="s">
        <v>43</v>
      </c>
      <c r="B51" s="1" t="s">
        <v>92</v>
      </c>
      <c r="C51" s="1">
        <v>177000</v>
      </c>
      <c r="D51" s="1">
        <v>179000</v>
      </c>
      <c r="E51" s="1">
        <v>214000</v>
      </c>
      <c r="F51" s="1">
        <v>764000</v>
      </c>
      <c r="G51" s="1">
        <v>1363000</v>
      </c>
      <c r="H51" s="1">
        <v>28802000</v>
      </c>
      <c r="I51" s="1">
        <v>39349000</v>
      </c>
      <c r="J51" s="1">
        <v>51374000</v>
      </c>
      <c r="K51" s="1">
        <v>68382000</v>
      </c>
      <c r="L51" s="1">
        <v>84795000</v>
      </c>
    </row>
    <row r="52" spans="1:12" ht="19" x14ac:dyDescent="0.25">
      <c r="A52" s="5" t="s">
        <v>44</v>
      </c>
      <c r="B52" s="1" t="s">
        <v>92</v>
      </c>
      <c r="C52" s="1">
        <v>17745000</v>
      </c>
      <c r="D52" s="1">
        <v>20522000</v>
      </c>
      <c r="E52" s="1">
        <v>93696000</v>
      </c>
      <c r="F52" s="1">
        <v>113070000</v>
      </c>
      <c r="G52" s="1">
        <v>110858000</v>
      </c>
      <c r="H52" s="1">
        <v>203592000</v>
      </c>
      <c r="I52" s="1">
        <v>300317000</v>
      </c>
      <c r="J52" s="1">
        <v>439687000</v>
      </c>
      <c r="K52" s="1">
        <v>863275000</v>
      </c>
      <c r="L52" s="1">
        <v>848684000</v>
      </c>
    </row>
    <row r="53" spans="1:12" ht="19" x14ac:dyDescent="0.25">
      <c r="A53" s="5" t="s">
        <v>45</v>
      </c>
      <c r="B53" s="1" t="s">
        <v>92</v>
      </c>
      <c r="C53" s="1" t="s">
        <v>92</v>
      </c>
      <c r="D53" s="1" t="s">
        <v>92</v>
      </c>
      <c r="E53" s="1" t="s">
        <v>92</v>
      </c>
      <c r="F53" s="1" t="s">
        <v>92</v>
      </c>
      <c r="G53" s="1" t="s">
        <v>92</v>
      </c>
      <c r="H53" s="1" t="s">
        <v>92</v>
      </c>
      <c r="I53" s="1" t="s">
        <v>92</v>
      </c>
      <c r="J53" s="1" t="s">
        <v>92</v>
      </c>
      <c r="K53" s="1" t="s">
        <v>92</v>
      </c>
      <c r="L53" s="1" t="s">
        <v>92</v>
      </c>
    </row>
    <row r="54" spans="1:12" ht="20" thickBot="1" x14ac:dyDescent="0.3">
      <c r="A54" s="7" t="s">
        <v>46</v>
      </c>
      <c r="B54" s="11" t="s">
        <v>92</v>
      </c>
      <c r="C54" s="11">
        <v>59855000</v>
      </c>
      <c r="D54" s="11">
        <v>86966000</v>
      </c>
      <c r="E54" s="11">
        <v>230561000</v>
      </c>
      <c r="F54" s="11">
        <v>243303000</v>
      </c>
      <c r="G54" s="11">
        <v>284136000</v>
      </c>
      <c r="H54" s="11">
        <v>559369000</v>
      </c>
      <c r="I54" s="11">
        <v>664913000</v>
      </c>
      <c r="J54" s="11">
        <v>913122000</v>
      </c>
      <c r="K54" s="11">
        <v>1296011000</v>
      </c>
      <c r="L54" s="11">
        <v>1358991000</v>
      </c>
    </row>
    <row r="55" spans="1:12" ht="20" thickTop="1" x14ac:dyDescent="0.25">
      <c r="A55" s="5" t="s">
        <v>47</v>
      </c>
      <c r="B55" s="1" t="s">
        <v>92</v>
      </c>
      <c r="C55" s="1">
        <v>2969000</v>
      </c>
      <c r="D55" s="1">
        <v>3536000</v>
      </c>
      <c r="E55" s="1">
        <v>2038000</v>
      </c>
      <c r="F55" s="1">
        <v>4012000</v>
      </c>
      <c r="G55" s="1">
        <v>2240000</v>
      </c>
      <c r="H55" s="1">
        <v>7048000</v>
      </c>
      <c r="I55" s="1">
        <v>6836000</v>
      </c>
      <c r="J55" s="1">
        <v>3860000</v>
      </c>
      <c r="K55" s="1">
        <v>3521000</v>
      </c>
      <c r="L55" s="1">
        <v>10255000</v>
      </c>
    </row>
    <row r="56" spans="1:12" ht="19" x14ac:dyDescent="0.25">
      <c r="A56" s="5" t="s">
        <v>48</v>
      </c>
      <c r="B56" s="1" t="s">
        <v>92</v>
      </c>
      <c r="C56" s="1" t="s">
        <v>92</v>
      </c>
      <c r="D56" s="1" t="s">
        <v>92</v>
      </c>
      <c r="E56" s="1" t="s">
        <v>92</v>
      </c>
      <c r="F56" s="1" t="s">
        <v>92</v>
      </c>
      <c r="G56" s="1" t="s">
        <v>92</v>
      </c>
      <c r="H56" s="1" t="s">
        <v>92</v>
      </c>
      <c r="I56" s="1" t="s">
        <v>92</v>
      </c>
      <c r="J56" s="1">
        <v>9612000</v>
      </c>
      <c r="K56" s="1">
        <v>9630000</v>
      </c>
      <c r="L56" s="1">
        <v>12444000</v>
      </c>
    </row>
    <row r="57" spans="1:12" ht="19" x14ac:dyDescent="0.25">
      <c r="A57" s="5" t="s">
        <v>49</v>
      </c>
      <c r="B57" s="1" t="s">
        <v>92</v>
      </c>
      <c r="C57" s="1" t="s">
        <v>92</v>
      </c>
      <c r="D57" s="1" t="s">
        <v>92</v>
      </c>
      <c r="E57" s="1" t="s">
        <v>92</v>
      </c>
      <c r="F57" s="1" t="s">
        <v>92</v>
      </c>
      <c r="G57" s="1" t="s">
        <v>92</v>
      </c>
      <c r="H57" s="1" t="s">
        <v>92</v>
      </c>
      <c r="I57" s="1" t="s">
        <v>92</v>
      </c>
      <c r="J57" s="1" t="s">
        <v>92</v>
      </c>
      <c r="K57" s="1" t="s">
        <v>92</v>
      </c>
      <c r="L57" s="1" t="s">
        <v>92</v>
      </c>
    </row>
    <row r="58" spans="1:12" ht="19" x14ac:dyDescent="0.25">
      <c r="A58" s="5" t="s">
        <v>50</v>
      </c>
      <c r="B58" s="1" t="s">
        <v>92</v>
      </c>
      <c r="C58" s="1">
        <v>40761000</v>
      </c>
      <c r="D58" s="1">
        <v>58164000</v>
      </c>
      <c r="E58" s="1">
        <v>87917000</v>
      </c>
      <c r="F58" s="1">
        <v>116903000</v>
      </c>
      <c r="G58" s="1">
        <v>155811000</v>
      </c>
      <c r="H58" s="1">
        <v>189855000</v>
      </c>
      <c r="I58" s="1">
        <v>231518000</v>
      </c>
      <c r="J58" s="1">
        <v>278585000</v>
      </c>
      <c r="K58" s="1">
        <v>372067000</v>
      </c>
      <c r="L58" s="1">
        <v>426599000</v>
      </c>
    </row>
    <row r="59" spans="1:12" ht="19" x14ac:dyDescent="0.25">
      <c r="A59" s="5" t="s">
        <v>51</v>
      </c>
      <c r="B59" s="1" t="s">
        <v>92</v>
      </c>
      <c r="C59" s="1">
        <v>10935000</v>
      </c>
      <c r="D59" s="1">
        <v>12549000</v>
      </c>
      <c r="E59" s="1">
        <v>25812000</v>
      </c>
      <c r="F59" s="1">
        <v>24694000</v>
      </c>
      <c r="G59" s="1">
        <v>31434000</v>
      </c>
      <c r="H59" s="1">
        <v>38083000</v>
      </c>
      <c r="I59" s="1">
        <v>48319000</v>
      </c>
      <c r="J59" s="1">
        <v>61677000</v>
      </c>
      <c r="K59" s="1">
        <v>83462000</v>
      </c>
      <c r="L59" s="1">
        <v>81969000</v>
      </c>
    </row>
    <row r="60" spans="1:12" ht="19" x14ac:dyDescent="0.25">
      <c r="A60" s="6" t="s">
        <v>52</v>
      </c>
      <c r="B60" s="10" t="s">
        <v>92</v>
      </c>
      <c r="C60" s="10">
        <v>54665000</v>
      </c>
      <c r="D60" s="10">
        <v>74249000</v>
      </c>
      <c r="E60" s="10">
        <v>115767000</v>
      </c>
      <c r="F60" s="10">
        <v>145609000</v>
      </c>
      <c r="G60" s="10">
        <v>189485000</v>
      </c>
      <c r="H60" s="10">
        <v>234986000</v>
      </c>
      <c r="I60" s="10">
        <v>286673000</v>
      </c>
      <c r="J60" s="10">
        <v>353734000</v>
      </c>
      <c r="K60" s="10">
        <v>468680000</v>
      </c>
      <c r="L60" s="10">
        <v>531267000</v>
      </c>
    </row>
    <row r="61" spans="1:12" ht="19" x14ac:dyDescent="0.25">
      <c r="A61" s="5" t="s">
        <v>53</v>
      </c>
      <c r="B61" s="1" t="s">
        <v>92</v>
      </c>
      <c r="C61" s="1">
        <v>16318000</v>
      </c>
      <c r="D61" s="1">
        <v>16871000</v>
      </c>
      <c r="E61" s="1" t="s">
        <v>92</v>
      </c>
      <c r="F61" s="1" t="s">
        <v>92</v>
      </c>
      <c r="G61" s="1" t="s">
        <v>92</v>
      </c>
      <c r="H61" s="1">
        <v>174688000</v>
      </c>
      <c r="I61" s="1">
        <v>185200000</v>
      </c>
      <c r="J61" s="1">
        <v>378586000</v>
      </c>
      <c r="K61" s="1">
        <v>902928000</v>
      </c>
      <c r="L61" s="1">
        <v>901894000</v>
      </c>
    </row>
    <row r="62" spans="1:12" ht="19" x14ac:dyDescent="0.25">
      <c r="A62" s="5" t="s">
        <v>50</v>
      </c>
      <c r="B62" s="1" t="s">
        <v>92</v>
      </c>
      <c r="C62" s="1">
        <v>19094000</v>
      </c>
      <c r="D62" s="1">
        <v>26892000</v>
      </c>
      <c r="E62" s="1">
        <v>42400000</v>
      </c>
      <c r="F62" s="1">
        <v>52160000</v>
      </c>
      <c r="G62" s="1">
        <v>68689000</v>
      </c>
      <c r="H62" s="1">
        <v>58716000</v>
      </c>
      <c r="I62" s="1">
        <v>36226000</v>
      </c>
      <c r="J62" s="1">
        <v>31365000</v>
      </c>
      <c r="K62" s="1">
        <v>33056000</v>
      </c>
      <c r="L62" s="1">
        <v>31040000</v>
      </c>
    </row>
    <row r="63" spans="1:12" ht="19" x14ac:dyDescent="0.25">
      <c r="A63" s="5" t="s">
        <v>54</v>
      </c>
      <c r="B63" s="1" t="s">
        <v>92</v>
      </c>
      <c r="C63" s="1" t="s">
        <v>92</v>
      </c>
      <c r="D63" s="1" t="s">
        <v>92</v>
      </c>
      <c r="E63" s="1" t="s">
        <v>92</v>
      </c>
      <c r="F63" s="1" t="s">
        <v>92</v>
      </c>
      <c r="G63" s="1" t="s">
        <v>92</v>
      </c>
      <c r="H63" s="1" t="s">
        <v>92</v>
      </c>
      <c r="I63" s="1" t="s">
        <v>92</v>
      </c>
      <c r="J63" s="1" t="s">
        <v>92</v>
      </c>
      <c r="K63" s="1" t="s">
        <v>92</v>
      </c>
      <c r="L63" s="1" t="s">
        <v>92</v>
      </c>
    </row>
    <row r="64" spans="1:12" ht="19" x14ac:dyDescent="0.25">
      <c r="A64" s="5" t="s">
        <v>55</v>
      </c>
      <c r="B64" s="1" t="s">
        <v>92</v>
      </c>
      <c r="C64" s="1">
        <v>2355000</v>
      </c>
      <c r="D64" s="1">
        <v>4218000</v>
      </c>
      <c r="E64" s="1">
        <v>4319000</v>
      </c>
      <c r="F64" s="1">
        <v>3496000</v>
      </c>
      <c r="G64" s="1">
        <v>1809000</v>
      </c>
      <c r="H64" s="1">
        <v>3660000</v>
      </c>
      <c r="I64" s="1">
        <v>73646000</v>
      </c>
      <c r="J64" s="1">
        <v>77901000</v>
      </c>
      <c r="K64" s="1">
        <v>17342000</v>
      </c>
      <c r="L64" s="1">
        <v>14864000</v>
      </c>
    </row>
    <row r="65" spans="1:12" ht="19" x14ac:dyDescent="0.25">
      <c r="A65" s="5" t="s">
        <v>56</v>
      </c>
      <c r="B65" s="1" t="s">
        <v>92</v>
      </c>
      <c r="C65" s="1">
        <v>37767000</v>
      </c>
      <c r="D65" s="1">
        <v>47981000</v>
      </c>
      <c r="E65" s="1">
        <v>46719000</v>
      </c>
      <c r="F65" s="1">
        <v>55656000</v>
      </c>
      <c r="G65" s="1">
        <v>70498000</v>
      </c>
      <c r="H65" s="1">
        <v>237064000</v>
      </c>
      <c r="I65" s="1">
        <v>295072000</v>
      </c>
      <c r="J65" s="1">
        <v>487852000</v>
      </c>
      <c r="K65" s="1">
        <v>953326000</v>
      </c>
      <c r="L65" s="1">
        <v>947798000</v>
      </c>
    </row>
    <row r="66" spans="1:12" ht="19" x14ac:dyDescent="0.25">
      <c r="A66" s="5" t="s">
        <v>57</v>
      </c>
      <c r="B66" s="1" t="s">
        <v>92</v>
      </c>
      <c r="C66" s="1" t="s">
        <v>92</v>
      </c>
      <c r="D66" s="1" t="s">
        <v>92</v>
      </c>
      <c r="E66" s="1" t="s">
        <v>92</v>
      </c>
      <c r="F66" s="1" t="s">
        <v>92</v>
      </c>
      <c r="G66" s="1" t="s">
        <v>92</v>
      </c>
      <c r="H66" s="1" t="s">
        <v>92</v>
      </c>
      <c r="I66" s="1" t="s">
        <v>92</v>
      </c>
      <c r="J66" s="1" t="s">
        <v>92</v>
      </c>
      <c r="K66" s="1" t="s">
        <v>92</v>
      </c>
      <c r="L66" s="1" t="s">
        <v>92</v>
      </c>
    </row>
    <row r="67" spans="1:12" ht="19" x14ac:dyDescent="0.25">
      <c r="A67" s="6" t="s">
        <v>58</v>
      </c>
      <c r="B67" s="10" t="s">
        <v>92</v>
      </c>
      <c r="C67" s="10">
        <v>92432000</v>
      </c>
      <c r="D67" s="10">
        <v>122230000</v>
      </c>
      <c r="E67" s="10">
        <v>162486000</v>
      </c>
      <c r="F67" s="10">
        <v>201265000</v>
      </c>
      <c r="G67" s="10">
        <v>259983000</v>
      </c>
      <c r="H67" s="10">
        <v>472050000</v>
      </c>
      <c r="I67" s="10">
        <v>581745000</v>
      </c>
      <c r="J67" s="10">
        <v>841586000</v>
      </c>
      <c r="K67" s="10">
        <v>1422006000</v>
      </c>
      <c r="L67" s="10">
        <v>1479065000</v>
      </c>
    </row>
    <row r="68" spans="1:12" ht="19" x14ac:dyDescent="0.25">
      <c r="A68" s="5" t="s">
        <v>59</v>
      </c>
      <c r="B68" s="1" t="s">
        <v>92</v>
      </c>
      <c r="C68" s="1">
        <v>128000</v>
      </c>
      <c r="D68" s="1">
        <v>126000</v>
      </c>
      <c r="E68" s="1">
        <v>415000</v>
      </c>
      <c r="F68" s="1">
        <v>426000</v>
      </c>
      <c r="G68" s="1">
        <v>441000</v>
      </c>
      <c r="H68" s="1">
        <v>476000</v>
      </c>
      <c r="I68" s="1">
        <v>499000</v>
      </c>
      <c r="J68" s="1">
        <v>522000</v>
      </c>
      <c r="K68" s="1">
        <v>577000</v>
      </c>
      <c r="L68" s="1">
        <v>597000</v>
      </c>
    </row>
    <row r="69" spans="1:12" ht="19" x14ac:dyDescent="0.25">
      <c r="A69" s="5" t="s">
        <v>60</v>
      </c>
      <c r="B69" s="1" t="s">
        <v>92</v>
      </c>
      <c r="C69" s="1">
        <v>-161149000</v>
      </c>
      <c r="D69" s="1">
        <v>-243462000</v>
      </c>
      <c r="E69" s="1">
        <v>-340338000</v>
      </c>
      <c r="F69" s="1">
        <v>-389338000</v>
      </c>
      <c r="G69" s="1">
        <v>-434913000</v>
      </c>
      <c r="H69" s="1">
        <v>-464585000</v>
      </c>
      <c r="I69" s="1">
        <v>-518430000</v>
      </c>
      <c r="J69" s="1">
        <v>-617279000</v>
      </c>
      <c r="K69" s="1">
        <v>-736028000</v>
      </c>
      <c r="L69" s="1">
        <v>-860745000</v>
      </c>
    </row>
    <row r="70" spans="1:12" ht="19" x14ac:dyDescent="0.25">
      <c r="A70" s="5" t="s">
        <v>61</v>
      </c>
      <c r="B70" s="1" t="s">
        <v>92</v>
      </c>
      <c r="C70" s="1">
        <v>-4346000</v>
      </c>
      <c r="D70" s="1">
        <v>-7595000</v>
      </c>
      <c r="E70" s="1">
        <v>-11678000</v>
      </c>
      <c r="F70" s="1">
        <v>-15964000</v>
      </c>
      <c r="G70" s="1">
        <v>-20729000</v>
      </c>
      <c r="H70" s="1">
        <v>-26218000</v>
      </c>
      <c r="I70" s="1">
        <v>-14008000</v>
      </c>
      <c r="J70" s="1">
        <v>454000</v>
      </c>
      <c r="K70" s="1">
        <v>-812000</v>
      </c>
      <c r="L70" s="1">
        <v>-1411000</v>
      </c>
    </row>
    <row r="71" spans="1:12" ht="19" x14ac:dyDescent="0.25">
      <c r="A71" s="5" t="s">
        <v>62</v>
      </c>
      <c r="B71" s="1" t="s">
        <v>92</v>
      </c>
      <c r="C71" s="1">
        <v>4346000</v>
      </c>
      <c r="D71" s="1">
        <v>4069000</v>
      </c>
      <c r="E71" s="1">
        <v>419676000</v>
      </c>
      <c r="F71" s="1">
        <v>446914000</v>
      </c>
      <c r="G71" s="1">
        <v>479354000</v>
      </c>
      <c r="H71" s="1">
        <v>577646000</v>
      </c>
      <c r="I71" s="1">
        <v>615107000</v>
      </c>
      <c r="J71" s="1">
        <v>687839000</v>
      </c>
      <c r="K71" s="1">
        <v>610268000</v>
      </c>
      <c r="L71" s="1">
        <v>741485000</v>
      </c>
    </row>
    <row r="72" spans="1:12" ht="19" x14ac:dyDescent="0.25">
      <c r="A72" s="6" t="s">
        <v>63</v>
      </c>
      <c r="B72" s="10" t="s">
        <v>92</v>
      </c>
      <c r="C72" s="10">
        <v>-32577000</v>
      </c>
      <c r="D72" s="10">
        <v>-35264000</v>
      </c>
      <c r="E72" s="10">
        <v>68075000</v>
      </c>
      <c r="F72" s="10">
        <v>42038000</v>
      </c>
      <c r="G72" s="10">
        <v>24153000</v>
      </c>
      <c r="H72" s="10">
        <v>87319000</v>
      </c>
      <c r="I72" s="10">
        <v>83168000</v>
      </c>
      <c r="J72" s="10">
        <v>71536000</v>
      </c>
      <c r="K72" s="10">
        <v>-125995000</v>
      </c>
      <c r="L72" s="10">
        <v>-120074000</v>
      </c>
    </row>
    <row r="73" spans="1:12" ht="20" thickBot="1" x14ac:dyDescent="0.3">
      <c r="A73" s="7" t="s">
        <v>64</v>
      </c>
      <c r="B73" s="11" t="s">
        <v>92</v>
      </c>
      <c r="C73" s="11">
        <v>59855000</v>
      </c>
      <c r="D73" s="11">
        <v>86966000</v>
      </c>
      <c r="E73" s="11">
        <v>230561000</v>
      </c>
      <c r="F73" s="11">
        <v>243303000</v>
      </c>
      <c r="G73" s="11">
        <v>284136000</v>
      </c>
      <c r="H73" s="11">
        <v>559369000</v>
      </c>
      <c r="I73" s="11">
        <v>664913000</v>
      </c>
      <c r="J73" s="11">
        <v>913122000</v>
      </c>
      <c r="K73" s="11">
        <v>1296011000</v>
      </c>
      <c r="L73" s="11">
        <v>1358991000</v>
      </c>
    </row>
    <row r="74" spans="1:12"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row>
    <row r="75" spans="1:12" ht="21" x14ac:dyDescent="0.25">
      <c r="A75" s="4" t="s">
        <v>65</v>
      </c>
      <c r="B75" s="9" t="s">
        <v>91</v>
      </c>
      <c r="C75" s="9" t="s">
        <v>91</v>
      </c>
      <c r="D75" s="9" t="s">
        <v>91</v>
      </c>
      <c r="E75" s="9" t="s">
        <v>91</v>
      </c>
      <c r="F75" s="9" t="s">
        <v>91</v>
      </c>
      <c r="G75" s="9" t="s">
        <v>91</v>
      </c>
      <c r="H75" s="9" t="s">
        <v>91</v>
      </c>
      <c r="I75" s="9" t="s">
        <v>91</v>
      </c>
      <c r="J75" s="9" t="s">
        <v>91</v>
      </c>
      <c r="K75" s="9" t="s">
        <v>91</v>
      </c>
      <c r="L75" s="9" t="s">
        <v>91</v>
      </c>
    </row>
    <row r="76" spans="1:12" ht="19" x14ac:dyDescent="0.25">
      <c r="A76" s="5" t="s">
        <v>66</v>
      </c>
      <c r="B76" s="1">
        <v>-12394000</v>
      </c>
      <c r="C76" s="1">
        <v>-18873000</v>
      </c>
      <c r="D76" s="1">
        <v>-32627000</v>
      </c>
      <c r="E76" s="1">
        <v>-49857000</v>
      </c>
      <c r="F76" s="1">
        <v>-49000000</v>
      </c>
      <c r="G76" s="1">
        <v>-45470000</v>
      </c>
      <c r="H76" s="1">
        <v>-55545000</v>
      </c>
      <c r="I76" s="1">
        <v>-53845000</v>
      </c>
      <c r="J76" s="1">
        <v>-98849000</v>
      </c>
      <c r="K76" s="1">
        <v>-146334000</v>
      </c>
      <c r="L76" s="1">
        <v>-124717000</v>
      </c>
    </row>
    <row r="77" spans="1:12" ht="19" x14ac:dyDescent="0.25">
      <c r="A77" s="5" t="s">
        <v>13</v>
      </c>
      <c r="B77" s="1">
        <v>1529000</v>
      </c>
      <c r="C77" s="1">
        <v>2631000</v>
      </c>
      <c r="D77" s="1">
        <v>4140000</v>
      </c>
      <c r="E77" s="1">
        <v>5352000</v>
      </c>
      <c r="F77" s="1">
        <v>6725000</v>
      </c>
      <c r="G77" s="1">
        <v>7628000</v>
      </c>
      <c r="H77" s="1">
        <v>11097000</v>
      </c>
      <c r="I77" s="1">
        <v>16528000</v>
      </c>
      <c r="J77" s="1">
        <v>22631000</v>
      </c>
      <c r="K77" s="1">
        <v>33501000</v>
      </c>
      <c r="L77" s="1">
        <v>41038000</v>
      </c>
    </row>
    <row r="78" spans="1:12" ht="19" x14ac:dyDescent="0.25">
      <c r="A78" s="5" t="s">
        <v>67</v>
      </c>
      <c r="B78" s="1">
        <v>-433000</v>
      </c>
      <c r="C78" s="1">
        <v>111000</v>
      </c>
      <c r="D78" s="1">
        <v>196000</v>
      </c>
      <c r="E78" s="1">
        <v>119000</v>
      </c>
      <c r="F78" s="1">
        <v>75000</v>
      </c>
      <c r="G78" s="1">
        <v>-2860000</v>
      </c>
      <c r="H78" s="1">
        <v>-69000</v>
      </c>
      <c r="I78" s="1">
        <v>-645000</v>
      </c>
      <c r="J78" s="1">
        <v>737000</v>
      </c>
      <c r="K78" s="1">
        <v>466000</v>
      </c>
      <c r="L78" s="1">
        <v>332000</v>
      </c>
    </row>
    <row r="79" spans="1:12" ht="19" x14ac:dyDescent="0.25">
      <c r="A79" s="5" t="s">
        <v>68</v>
      </c>
      <c r="B79" s="1">
        <v>1720000</v>
      </c>
      <c r="C79" s="1">
        <v>2047000</v>
      </c>
      <c r="D79" s="1">
        <v>2159000</v>
      </c>
      <c r="E79" s="1">
        <v>10685000</v>
      </c>
      <c r="F79" s="1">
        <v>17316000</v>
      </c>
      <c r="G79" s="1">
        <v>19541000</v>
      </c>
      <c r="H79" s="1">
        <v>27593000</v>
      </c>
      <c r="I79" s="1">
        <v>40664000</v>
      </c>
      <c r="J79" s="1">
        <v>63888000</v>
      </c>
      <c r="K79" s="1">
        <v>102579000</v>
      </c>
      <c r="L79" s="1">
        <v>119902000</v>
      </c>
    </row>
    <row r="80" spans="1:12" ht="19" x14ac:dyDescent="0.25">
      <c r="A80" s="14" t="s">
        <v>104</v>
      </c>
      <c r="B80" s="15">
        <f t="shared" ref="B80:L80" si="6">B79/B3</f>
        <v>3.7355572930240638E-2</v>
      </c>
      <c r="C80" s="15">
        <f t="shared" si="6"/>
        <v>3.409961685823755E-2</v>
      </c>
      <c r="D80" s="15">
        <f t="shared" si="6"/>
        <v>2.8082726326742975E-2</v>
      </c>
      <c r="E80" s="15">
        <f t="shared" si="6"/>
        <v>9.6674085735483056E-2</v>
      </c>
      <c r="F80" s="15">
        <f t="shared" si="6"/>
        <v>0.10998685188361058</v>
      </c>
      <c r="G80" s="15">
        <f t="shared" si="6"/>
        <v>9.7247934706877676E-2</v>
      </c>
      <c r="H80" s="15">
        <f t="shared" si="6"/>
        <v>0.11304390575645969</v>
      </c>
      <c r="I80" s="15">
        <f t="shared" si="6"/>
        <v>0.12437489868388454</v>
      </c>
      <c r="J80" s="15">
        <f t="shared" si="6"/>
        <v>0.15526166139309722</v>
      </c>
      <c r="K80" s="15">
        <f t="shared" si="6"/>
        <v>0.19159176995315688</v>
      </c>
      <c r="L80" s="15">
        <f t="shared" si="6"/>
        <v>0.17501820947242888</v>
      </c>
    </row>
    <row r="81" spans="1:20" ht="19" x14ac:dyDescent="0.25">
      <c r="A81" s="5" t="s">
        <v>69</v>
      </c>
      <c r="B81" s="1">
        <v>8431000</v>
      </c>
      <c r="C81" s="1">
        <v>13011000</v>
      </c>
      <c r="D81" s="1">
        <v>21642000</v>
      </c>
      <c r="E81" s="1">
        <v>28992000</v>
      </c>
      <c r="F81" s="1">
        <v>32785000</v>
      </c>
      <c r="G81" s="1">
        <v>33697000</v>
      </c>
      <c r="H81" s="1">
        <v>18168000</v>
      </c>
      <c r="I81" s="1">
        <v>-15242000</v>
      </c>
      <c r="J81" s="1">
        <v>-3466000</v>
      </c>
      <c r="K81" s="1">
        <v>55063000</v>
      </c>
      <c r="L81" s="1">
        <v>41649000</v>
      </c>
    </row>
    <row r="82" spans="1:20" ht="19" x14ac:dyDescent="0.25">
      <c r="A82" s="5" t="s">
        <v>70</v>
      </c>
      <c r="B82" s="1">
        <v>-6621000</v>
      </c>
      <c r="C82" s="1">
        <v>-4012000</v>
      </c>
      <c r="D82" s="1">
        <v>-7127000</v>
      </c>
      <c r="E82" s="1">
        <v>-18370000</v>
      </c>
      <c r="F82" s="1">
        <v>-6195000</v>
      </c>
      <c r="G82" s="1">
        <v>-25217000</v>
      </c>
      <c r="H82" s="1">
        <v>-1685000</v>
      </c>
      <c r="I82" s="1">
        <v>-14800000</v>
      </c>
      <c r="J82" s="1">
        <v>-24380000</v>
      </c>
      <c r="K82" s="1">
        <v>-25475000</v>
      </c>
      <c r="L82" s="1">
        <v>-9050000</v>
      </c>
    </row>
    <row r="83" spans="1:20" ht="21" x14ac:dyDescent="0.25">
      <c r="A83" s="5" t="s">
        <v>34</v>
      </c>
      <c r="B83" s="1" t="s">
        <v>92</v>
      </c>
      <c r="C83" s="1" t="s">
        <v>92</v>
      </c>
      <c r="D83" s="1" t="s">
        <v>92</v>
      </c>
      <c r="E83" s="1" t="s">
        <v>92</v>
      </c>
      <c r="F83" s="1" t="s">
        <v>92</v>
      </c>
      <c r="G83" s="1" t="s">
        <v>92</v>
      </c>
      <c r="H83" s="1" t="s">
        <v>92</v>
      </c>
      <c r="I83" s="1" t="s">
        <v>92</v>
      </c>
      <c r="J83" s="1" t="s">
        <v>92</v>
      </c>
      <c r="K83" s="1" t="s">
        <v>92</v>
      </c>
      <c r="L83" s="1" t="s">
        <v>92</v>
      </c>
      <c r="S83" s="61" t="s">
        <v>126</v>
      </c>
      <c r="T83" s="62"/>
    </row>
    <row r="84" spans="1:20" ht="19" x14ac:dyDescent="0.25">
      <c r="A84" s="5" t="s">
        <v>47</v>
      </c>
      <c r="B84" s="1">
        <v>91000</v>
      </c>
      <c r="C84" s="1">
        <v>1064000</v>
      </c>
      <c r="D84" s="1">
        <v>567000</v>
      </c>
      <c r="E84" s="1">
        <v>-2302000</v>
      </c>
      <c r="F84" s="1">
        <v>1619000</v>
      </c>
      <c r="G84" s="1">
        <v>-2257000</v>
      </c>
      <c r="H84" s="1">
        <v>3675000</v>
      </c>
      <c r="I84" s="1">
        <v>92000</v>
      </c>
      <c r="J84" s="1">
        <v>-2394000</v>
      </c>
      <c r="K84" s="1">
        <v>-2077000</v>
      </c>
      <c r="L84" s="1">
        <v>7977000</v>
      </c>
      <c r="S84" s="63" t="s">
        <v>127</v>
      </c>
      <c r="T84" s="64"/>
    </row>
    <row r="85" spans="1:20" ht="20" x14ac:dyDescent="0.25">
      <c r="A85" s="5" t="s">
        <v>71</v>
      </c>
      <c r="B85" s="1">
        <v>16468000</v>
      </c>
      <c r="C85" s="1">
        <v>15126000</v>
      </c>
      <c r="D85" s="1">
        <v>25200000</v>
      </c>
      <c r="E85" s="1">
        <v>44868000</v>
      </c>
      <c r="F85" s="1">
        <v>38748000</v>
      </c>
      <c r="G85" s="1">
        <v>55437000</v>
      </c>
      <c r="H85" s="1">
        <v>10080000</v>
      </c>
      <c r="I85" s="1">
        <v>7380000</v>
      </c>
      <c r="J85" s="1">
        <v>24049000</v>
      </c>
      <c r="K85" s="1">
        <v>63036000</v>
      </c>
      <c r="L85" s="1" t="s">
        <v>92</v>
      </c>
      <c r="S85" s="23" t="s">
        <v>128</v>
      </c>
      <c r="T85" s="24">
        <f>L17</f>
        <v>10982000</v>
      </c>
    </row>
    <row r="86" spans="1:20" ht="20" x14ac:dyDescent="0.25">
      <c r="A86" s="5" t="s">
        <v>72</v>
      </c>
      <c r="B86" s="1">
        <v>456000</v>
      </c>
      <c r="C86" s="1">
        <v>460000</v>
      </c>
      <c r="D86" s="1">
        <v>1134000</v>
      </c>
      <c r="E86" s="1">
        <v>2802000</v>
      </c>
      <c r="F86" s="1">
        <v>1211000</v>
      </c>
      <c r="G86" s="1">
        <v>750000</v>
      </c>
      <c r="H86" s="1">
        <v>4822000</v>
      </c>
      <c r="I86" s="1">
        <v>11120000</v>
      </c>
      <c r="J86" s="1">
        <v>19946000</v>
      </c>
      <c r="K86" s="1">
        <v>8642000</v>
      </c>
      <c r="L86" s="1" t="s">
        <v>92</v>
      </c>
      <c r="S86" s="23" t="s">
        <v>129</v>
      </c>
      <c r="T86" s="24">
        <f>L56</f>
        <v>12444000</v>
      </c>
    </row>
    <row r="87" spans="1:20" ht="20" x14ac:dyDescent="0.25">
      <c r="A87" s="6" t="s">
        <v>73</v>
      </c>
      <c r="B87" s="10">
        <v>-691000</v>
      </c>
      <c r="C87" s="10">
        <v>-613000</v>
      </c>
      <c r="D87" s="10">
        <v>-3356000</v>
      </c>
      <c r="E87" s="10">
        <v>-1907000</v>
      </c>
      <c r="F87" s="10">
        <v>9112000</v>
      </c>
      <c r="G87" s="10">
        <v>13286000</v>
      </c>
      <c r="H87" s="10">
        <v>6066000</v>
      </c>
      <c r="I87" s="10">
        <v>-1420000</v>
      </c>
      <c r="J87" s="10">
        <v>4887000</v>
      </c>
      <c r="K87" s="10">
        <v>53917000</v>
      </c>
      <c r="L87" s="10">
        <v>78204000</v>
      </c>
      <c r="S87" s="23" t="s">
        <v>130</v>
      </c>
      <c r="T87" s="24">
        <f>L61</f>
        <v>901894000</v>
      </c>
    </row>
    <row r="88" spans="1:20" ht="20" x14ac:dyDescent="0.25">
      <c r="A88" s="5" t="s">
        <v>74</v>
      </c>
      <c r="B88" s="1">
        <v>-2133000</v>
      </c>
      <c r="C88" s="1">
        <v>-2778000</v>
      </c>
      <c r="D88" s="1">
        <v>-7082000</v>
      </c>
      <c r="E88" s="1">
        <v>-4136000</v>
      </c>
      <c r="F88" s="1">
        <v>-4499000</v>
      </c>
      <c r="G88" s="1">
        <v>-4824000</v>
      </c>
      <c r="H88" s="1">
        <v>-12813000</v>
      </c>
      <c r="I88" s="1">
        <v>-29428000</v>
      </c>
      <c r="J88" s="1">
        <v>-13802000</v>
      </c>
      <c r="K88" s="1">
        <v>-9010000</v>
      </c>
      <c r="L88" s="1">
        <v>-20382000</v>
      </c>
      <c r="S88" s="33" t="s">
        <v>131</v>
      </c>
      <c r="T88" s="34">
        <f>T85/(T86+T87)</f>
        <v>1.2010875628050021E-2</v>
      </c>
    </row>
    <row r="89" spans="1:20" ht="20" customHeight="1" x14ac:dyDescent="0.25">
      <c r="A89" s="14" t="s">
        <v>105</v>
      </c>
      <c r="B89" s="15">
        <f t="shared" ref="B89:L89" si="7">(-1*B88)/B3</f>
        <v>4.6325254104769349E-2</v>
      </c>
      <c r="C89" s="15">
        <f t="shared" si="7"/>
        <v>4.6276861569215393E-2</v>
      </c>
      <c r="D89" s="15">
        <f t="shared" si="7"/>
        <v>9.2117585848074918E-2</v>
      </c>
      <c r="E89" s="15">
        <f t="shared" si="7"/>
        <v>3.7421059298264663E-2</v>
      </c>
      <c r="F89" s="15">
        <f t="shared" si="7"/>
        <v>2.8576509969066993E-2</v>
      </c>
      <c r="G89" s="15">
        <f t="shared" si="7"/>
        <v>2.400716631830397E-2</v>
      </c>
      <c r="H89" s="15">
        <f t="shared" si="7"/>
        <v>5.2492717879807124E-2</v>
      </c>
      <c r="I89" s="15">
        <f t="shared" si="7"/>
        <v>9.0008472321201904E-2</v>
      </c>
      <c r="J89" s="15">
        <f t="shared" si="7"/>
        <v>3.3541845895121582E-2</v>
      </c>
      <c r="K89" s="15">
        <f t="shared" si="7"/>
        <v>1.6828413683872365E-2</v>
      </c>
      <c r="L89" s="15">
        <f t="shared" si="7"/>
        <v>2.9751139642933775E-2</v>
      </c>
      <c r="S89" s="23" t="s">
        <v>106</v>
      </c>
      <c r="T89" s="24">
        <f>L27</f>
        <v>2412000</v>
      </c>
    </row>
    <row r="90" spans="1:20" ht="20" x14ac:dyDescent="0.25">
      <c r="A90" s="5" t="s">
        <v>75</v>
      </c>
      <c r="B90" s="1" t="s">
        <v>92</v>
      </c>
      <c r="C90" s="1" t="s">
        <v>92</v>
      </c>
      <c r="D90" s="1" t="s">
        <v>92</v>
      </c>
      <c r="E90" s="1">
        <v>-39000000</v>
      </c>
      <c r="F90" s="1" t="s">
        <v>92</v>
      </c>
      <c r="G90" s="1">
        <v>-15000000</v>
      </c>
      <c r="H90" s="1">
        <v>-14000000</v>
      </c>
      <c r="I90" s="1">
        <v>-15000000</v>
      </c>
      <c r="J90" s="1">
        <v>-126000000</v>
      </c>
      <c r="K90" s="1">
        <v>-358420000</v>
      </c>
      <c r="L90" s="1">
        <v>-300000</v>
      </c>
      <c r="S90" s="23" t="s">
        <v>19</v>
      </c>
      <c r="T90" s="24">
        <f>L25</f>
        <v>-122305000</v>
      </c>
    </row>
    <row r="91" spans="1:20" ht="20" x14ac:dyDescent="0.25">
      <c r="A91" s="5" t="s">
        <v>76</v>
      </c>
      <c r="B91" s="1" t="s">
        <v>92</v>
      </c>
      <c r="C91" s="1" t="s">
        <v>92</v>
      </c>
      <c r="D91" s="1" t="s">
        <v>92</v>
      </c>
      <c r="E91" s="1" t="s">
        <v>92</v>
      </c>
      <c r="F91" s="1">
        <v>-38976000</v>
      </c>
      <c r="G91" s="1">
        <v>-35190000</v>
      </c>
      <c r="H91" s="1">
        <v>-233421000</v>
      </c>
      <c r="I91" s="1">
        <v>-148047000</v>
      </c>
      <c r="J91" s="1">
        <v>-177053000</v>
      </c>
      <c r="K91" s="1">
        <v>-96092000</v>
      </c>
      <c r="L91" s="1">
        <v>-122765000</v>
      </c>
      <c r="S91" s="33" t="s">
        <v>132</v>
      </c>
      <c r="T91" s="34">
        <f>T89/T90</f>
        <v>-1.9721188831200685E-2</v>
      </c>
    </row>
    <row r="92" spans="1:20" ht="20" x14ac:dyDescent="0.25">
      <c r="A92" s="5" t="s">
        <v>77</v>
      </c>
      <c r="B92" s="1" t="s">
        <v>92</v>
      </c>
      <c r="C92" s="1" t="s">
        <v>92</v>
      </c>
      <c r="D92" s="1" t="s">
        <v>92</v>
      </c>
      <c r="E92" s="1" t="s">
        <v>92</v>
      </c>
      <c r="F92" s="1" t="s">
        <v>92</v>
      </c>
      <c r="G92" s="1">
        <v>33672000</v>
      </c>
      <c r="H92" s="1">
        <v>70226000</v>
      </c>
      <c r="I92" s="1">
        <v>214980000</v>
      </c>
      <c r="J92" s="1">
        <v>166524000</v>
      </c>
      <c r="K92" s="1">
        <v>147998000</v>
      </c>
      <c r="L92" s="1">
        <v>121304000</v>
      </c>
      <c r="S92" s="35" t="s">
        <v>133</v>
      </c>
      <c r="T92" s="36">
        <f>T88*(1-T91)</f>
        <v>1.2247744374338862E-2</v>
      </c>
    </row>
    <row r="93" spans="1:20" ht="19" x14ac:dyDescent="0.25">
      <c r="A93" s="5" t="s">
        <v>78</v>
      </c>
      <c r="B93" s="1">
        <v>-4791000</v>
      </c>
      <c r="C93" s="1" t="s">
        <v>92</v>
      </c>
      <c r="D93" s="1" t="s">
        <v>92</v>
      </c>
      <c r="E93" s="1">
        <v>189000</v>
      </c>
      <c r="F93" s="1" t="s">
        <v>92</v>
      </c>
      <c r="G93" s="1">
        <v>-1079000</v>
      </c>
      <c r="H93" s="1">
        <v>-3725000</v>
      </c>
      <c r="I93" s="1">
        <v>-5694000</v>
      </c>
      <c r="J93" s="1">
        <v>-5956000</v>
      </c>
      <c r="K93" s="1">
        <v>-9854000</v>
      </c>
      <c r="L93" s="1">
        <v>-17845000</v>
      </c>
      <c r="S93" s="65" t="s">
        <v>134</v>
      </c>
      <c r="T93" s="66"/>
    </row>
    <row r="94" spans="1:20" ht="20" x14ac:dyDescent="0.25">
      <c r="A94" s="6" t="s">
        <v>79</v>
      </c>
      <c r="B94" s="10">
        <v>-6924000</v>
      </c>
      <c r="C94" s="10">
        <v>-2778000</v>
      </c>
      <c r="D94" s="10">
        <v>-7082000</v>
      </c>
      <c r="E94" s="10">
        <v>-42947000</v>
      </c>
      <c r="F94" s="10">
        <v>-43475000</v>
      </c>
      <c r="G94" s="10">
        <v>-22421000</v>
      </c>
      <c r="H94" s="10">
        <v>-193733000</v>
      </c>
      <c r="I94" s="10">
        <v>16811000</v>
      </c>
      <c r="J94" s="10">
        <v>-156287000</v>
      </c>
      <c r="K94" s="10">
        <v>-325378000</v>
      </c>
      <c r="L94" s="10">
        <v>-39988000</v>
      </c>
      <c r="S94" s="23" t="s">
        <v>135</v>
      </c>
      <c r="T94" s="37">
        <v>4.095E-2</v>
      </c>
    </row>
    <row r="95" spans="1:20" ht="20" x14ac:dyDescent="0.25">
      <c r="A95" s="5" t="s">
        <v>80</v>
      </c>
      <c r="B95" s="1">
        <v>-220000</v>
      </c>
      <c r="C95" s="1">
        <v>-5300000</v>
      </c>
      <c r="D95" s="1">
        <v>-256000</v>
      </c>
      <c r="E95" s="1">
        <v>-18793000</v>
      </c>
      <c r="F95" s="1">
        <v>-68000</v>
      </c>
      <c r="G95" s="1" t="s">
        <v>92</v>
      </c>
      <c r="H95" s="1">
        <v>-26910000</v>
      </c>
      <c r="I95" s="1" t="s">
        <v>92</v>
      </c>
      <c r="J95" s="1">
        <v>-440000</v>
      </c>
      <c r="K95" s="1">
        <v>-230000000</v>
      </c>
      <c r="L95" s="1">
        <v>-71000</v>
      </c>
      <c r="S95" s="23" t="s">
        <v>136</v>
      </c>
      <c r="T95" s="38" cm="1">
        <f t="array" ref="T95">_FV(A1,"Beta")</f>
        <v>1.1113999999999999</v>
      </c>
    </row>
    <row r="96" spans="1:20" ht="20" x14ac:dyDescent="0.25">
      <c r="A96" s="5" t="s">
        <v>81</v>
      </c>
      <c r="B96" s="1" t="s">
        <v>92</v>
      </c>
      <c r="C96" s="1" t="s">
        <v>92</v>
      </c>
      <c r="D96" s="1" t="s">
        <v>92</v>
      </c>
      <c r="E96" s="1">
        <v>112275000</v>
      </c>
      <c r="F96" s="1" t="s">
        <v>92</v>
      </c>
      <c r="G96" s="1" t="s">
        <v>92</v>
      </c>
      <c r="H96" s="1">
        <v>30907000</v>
      </c>
      <c r="I96" s="1" t="s">
        <v>92</v>
      </c>
      <c r="J96" s="1" t="s">
        <v>92</v>
      </c>
      <c r="K96" s="1" t="s">
        <v>92</v>
      </c>
      <c r="L96" s="1" t="s">
        <v>92</v>
      </c>
      <c r="S96" s="23" t="s">
        <v>137</v>
      </c>
      <c r="T96" s="37">
        <v>8.4000000000000005E-2</v>
      </c>
    </row>
    <row r="97" spans="1:20" ht="20" x14ac:dyDescent="0.25">
      <c r="A97" s="5" t="s">
        <v>82</v>
      </c>
      <c r="B97" s="1">
        <v>-3260000</v>
      </c>
      <c r="C97" s="1" t="s">
        <v>92</v>
      </c>
      <c r="D97" s="1">
        <v>-3526000</v>
      </c>
      <c r="E97" s="1" t="s">
        <v>92</v>
      </c>
      <c r="F97" s="1" t="s">
        <v>92</v>
      </c>
      <c r="G97" s="1" t="s">
        <v>92</v>
      </c>
      <c r="H97" s="1" t="s">
        <v>92</v>
      </c>
      <c r="I97" s="1" t="s">
        <v>92</v>
      </c>
      <c r="J97" s="1" t="s">
        <v>92</v>
      </c>
      <c r="K97" s="1" t="s">
        <v>92</v>
      </c>
      <c r="L97" s="1" t="s">
        <v>92</v>
      </c>
      <c r="S97" s="35" t="s">
        <v>138</v>
      </c>
      <c r="T97" s="36">
        <f>(T94)+((T95)*(T96-T94))</f>
        <v>8.8795769999999996E-2</v>
      </c>
    </row>
    <row r="98" spans="1:20" ht="19" x14ac:dyDescent="0.25">
      <c r="A98" s="5" t="s">
        <v>83</v>
      </c>
      <c r="B98" s="1" t="s">
        <v>92</v>
      </c>
      <c r="C98" s="1" t="s">
        <v>92</v>
      </c>
      <c r="D98" s="1" t="s">
        <v>92</v>
      </c>
      <c r="E98" s="1" t="s">
        <v>92</v>
      </c>
      <c r="F98" s="1" t="s">
        <v>92</v>
      </c>
      <c r="G98" s="1" t="s">
        <v>92</v>
      </c>
      <c r="H98" s="1" t="s">
        <v>92</v>
      </c>
      <c r="I98" s="1" t="s">
        <v>92</v>
      </c>
      <c r="J98" s="1" t="s">
        <v>92</v>
      </c>
      <c r="K98" s="1" t="s">
        <v>92</v>
      </c>
      <c r="L98" s="1" t="s">
        <v>92</v>
      </c>
      <c r="S98" s="65" t="s">
        <v>139</v>
      </c>
      <c r="T98" s="66"/>
    </row>
    <row r="99" spans="1:20" ht="20" x14ac:dyDescent="0.25">
      <c r="A99" s="5" t="s">
        <v>84</v>
      </c>
      <c r="B99" s="1">
        <v>-2493000</v>
      </c>
      <c r="C99" s="1">
        <v>21622000</v>
      </c>
      <c r="D99" s="1">
        <v>30451000</v>
      </c>
      <c r="E99" s="1">
        <v>1304000</v>
      </c>
      <c r="F99" s="1">
        <v>1229000</v>
      </c>
      <c r="G99" s="1">
        <v>7268000</v>
      </c>
      <c r="H99" s="1">
        <v>232167000</v>
      </c>
      <c r="I99" s="1">
        <v>8788000</v>
      </c>
      <c r="J99" s="1">
        <v>201365000</v>
      </c>
      <c r="K99" s="1">
        <v>494133000</v>
      </c>
      <c r="L99" s="1">
        <v>7487000</v>
      </c>
      <c r="S99" s="23" t="s">
        <v>140</v>
      </c>
      <c r="T99" s="24">
        <f>T86+T87</f>
        <v>914338000</v>
      </c>
    </row>
    <row r="100" spans="1:20" ht="20" x14ac:dyDescent="0.25">
      <c r="A100" s="6" t="s">
        <v>85</v>
      </c>
      <c r="B100" s="10">
        <v>-5973000</v>
      </c>
      <c r="C100" s="10">
        <v>16322000</v>
      </c>
      <c r="D100" s="10">
        <v>26669000</v>
      </c>
      <c r="E100" s="10">
        <v>94786000</v>
      </c>
      <c r="F100" s="10">
        <v>1161000</v>
      </c>
      <c r="G100" s="10">
        <v>7268000</v>
      </c>
      <c r="H100" s="10">
        <v>236164000</v>
      </c>
      <c r="I100" s="10">
        <v>8788000</v>
      </c>
      <c r="J100" s="10">
        <v>200925000</v>
      </c>
      <c r="K100" s="10">
        <v>264133000</v>
      </c>
      <c r="L100" s="10">
        <v>7416000</v>
      </c>
      <c r="S100" s="33" t="s">
        <v>141</v>
      </c>
      <c r="T100" s="34">
        <f>T99/T103</f>
        <v>0.25212273341765923</v>
      </c>
    </row>
    <row r="101" spans="1:20" ht="20" x14ac:dyDescent="0.25">
      <c r="A101" s="5" t="s">
        <v>86</v>
      </c>
      <c r="B101" s="1" t="s">
        <v>92</v>
      </c>
      <c r="C101" s="1">
        <v>14000</v>
      </c>
      <c r="D101" s="1">
        <v>-20000</v>
      </c>
      <c r="E101" s="1">
        <v>-202000</v>
      </c>
      <c r="F101" s="1">
        <v>-203000</v>
      </c>
      <c r="G101" s="1">
        <v>281000</v>
      </c>
      <c r="H101" s="1">
        <v>-694000</v>
      </c>
      <c r="I101" s="1">
        <v>-331000</v>
      </c>
      <c r="J101" s="1">
        <v>679000</v>
      </c>
      <c r="K101" s="1">
        <v>-1272000</v>
      </c>
      <c r="L101" s="1">
        <v>-2845000</v>
      </c>
      <c r="S101" s="23" t="s">
        <v>142</v>
      </c>
      <c r="T101" s="39" cm="1">
        <f t="array" ref="T101">_FV(A1,"Market cap",TRUE)</f>
        <v>2712221127</v>
      </c>
    </row>
    <row r="102" spans="1:20" ht="20" x14ac:dyDescent="0.25">
      <c r="A102" s="6" t="s">
        <v>87</v>
      </c>
      <c r="B102" s="10">
        <v>-13588000</v>
      </c>
      <c r="C102" s="10">
        <v>12945000</v>
      </c>
      <c r="D102" s="10">
        <v>16211000</v>
      </c>
      <c r="E102" s="10">
        <v>49730000</v>
      </c>
      <c r="F102" s="10">
        <v>-33405000</v>
      </c>
      <c r="G102" s="10">
        <v>-1586000</v>
      </c>
      <c r="H102" s="10">
        <v>47803000</v>
      </c>
      <c r="I102" s="10">
        <v>23848000</v>
      </c>
      <c r="J102" s="10">
        <v>50204000</v>
      </c>
      <c r="K102" s="10">
        <v>-8600000</v>
      </c>
      <c r="L102" s="10">
        <v>42787000</v>
      </c>
      <c r="S102" s="33" t="s">
        <v>143</v>
      </c>
      <c r="T102" s="34">
        <f>T101/T103</f>
        <v>0.74787726658234077</v>
      </c>
    </row>
    <row r="103" spans="1:20" ht="20" x14ac:dyDescent="0.25">
      <c r="A103" s="5" t="s">
        <v>88</v>
      </c>
      <c r="B103" s="1">
        <v>21255000</v>
      </c>
      <c r="C103" s="1">
        <v>7667000</v>
      </c>
      <c r="D103" s="1">
        <v>20612000</v>
      </c>
      <c r="E103" s="1">
        <v>36823000</v>
      </c>
      <c r="F103" s="1">
        <v>86553000</v>
      </c>
      <c r="G103" s="1">
        <v>53148000</v>
      </c>
      <c r="H103" s="1">
        <v>51762000</v>
      </c>
      <c r="I103" s="1">
        <v>99565000</v>
      </c>
      <c r="J103" s="1">
        <v>123413000</v>
      </c>
      <c r="K103" s="1">
        <v>173617000</v>
      </c>
      <c r="L103" s="1">
        <v>165017000</v>
      </c>
      <c r="S103" s="35" t="s">
        <v>144</v>
      </c>
      <c r="T103" s="40">
        <f>T99+T101</f>
        <v>3626559127</v>
      </c>
    </row>
    <row r="104" spans="1:20" ht="20" thickBot="1" x14ac:dyDescent="0.3">
      <c r="A104" s="7" t="s">
        <v>89</v>
      </c>
      <c r="B104" s="11">
        <v>7667000</v>
      </c>
      <c r="C104" s="11">
        <v>20612000</v>
      </c>
      <c r="D104" s="11">
        <v>36823000</v>
      </c>
      <c r="E104" s="11">
        <v>86553000</v>
      </c>
      <c r="F104" s="11">
        <v>53148000</v>
      </c>
      <c r="G104" s="11">
        <v>51562000</v>
      </c>
      <c r="H104" s="11">
        <v>99565000</v>
      </c>
      <c r="I104" s="11">
        <v>123413000</v>
      </c>
      <c r="J104" s="11">
        <v>173617000</v>
      </c>
      <c r="K104" s="11">
        <v>165017000</v>
      </c>
      <c r="L104" s="11">
        <v>207804000</v>
      </c>
      <c r="S104" s="63" t="s">
        <v>145</v>
      </c>
      <c r="T104" s="64"/>
    </row>
    <row r="105" spans="1:20" ht="21" thickTop="1" x14ac:dyDescent="0.25">
      <c r="A105" s="14" t="s">
        <v>107</v>
      </c>
      <c r="B105" s="1"/>
      <c r="C105" s="15">
        <f>(C106/B106)-1</f>
        <v>0.20077903682719556</v>
      </c>
      <c r="D105" s="15">
        <f>(D106/C106)-1</f>
        <v>2.0781480389265705</v>
      </c>
      <c r="E105" s="15">
        <f>(E106/D106)-1</f>
        <v>-0.42105767388388582</v>
      </c>
      <c r="F105" s="15">
        <f>(F106/E106)-1</f>
        <v>-1.7633625682607976</v>
      </c>
      <c r="G105" s="15">
        <f>(G106/F106)-1</f>
        <v>0.58248428354649895</v>
      </c>
      <c r="H105" s="15">
        <f t="shared" ref="H105:L105" si="8">(H106/G106)-1</f>
        <v>-2.3715068493150682</v>
      </c>
      <c r="I105" s="15">
        <f t="shared" si="8"/>
        <v>2.6890731122652816</v>
      </c>
      <c r="J105" s="15">
        <f t="shared" si="8"/>
        <v>-0.59266278597536215</v>
      </c>
      <c r="K105" s="15">
        <f t="shared" si="8"/>
        <v>-3.3298770355599867</v>
      </c>
      <c r="L105" s="15">
        <f t="shared" si="8"/>
        <v>0.16044275810914899</v>
      </c>
      <c r="M105" s="15"/>
      <c r="N105" s="15"/>
      <c r="O105" s="15"/>
      <c r="P105" s="15"/>
      <c r="Q105" s="15"/>
      <c r="R105" s="15"/>
      <c r="S105" s="25" t="s">
        <v>108</v>
      </c>
      <c r="T105" s="26">
        <f>(T100*T92)+(T102*T97)</f>
        <v>6.9496272541533288E-2</v>
      </c>
    </row>
    <row r="106" spans="1:20" ht="19" x14ac:dyDescent="0.25">
      <c r="A106" s="5" t="s">
        <v>90</v>
      </c>
      <c r="B106" s="1">
        <v>-2824000</v>
      </c>
      <c r="C106" s="1">
        <v>-3391000</v>
      </c>
      <c r="D106" s="1">
        <v>-10438000</v>
      </c>
      <c r="E106" s="1">
        <v>-6043000</v>
      </c>
      <c r="F106" s="1">
        <v>4613000</v>
      </c>
      <c r="G106" s="1">
        <v>7300000</v>
      </c>
      <c r="H106" s="1">
        <v>-10012000</v>
      </c>
      <c r="I106" s="1">
        <v>-36935000</v>
      </c>
      <c r="J106" s="1">
        <v>-15045000</v>
      </c>
      <c r="K106" s="1">
        <v>35053000</v>
      </c>
      <c r="L106" s="1">
        <v>40677000</v>
      </c>
      <c r="M106" s="41">
        <f>L106*(1+$T$106)</f>
        <v>46048716.546524957</v>
      </c>
      <c r="N106" s="41">
        <f t="shared" ref="N106:Q106" si="9">M106*(1+$T$106)</f>
        <v>52129810.34939158</v>
      </c>
      <c r="O106" s="41">
        <f t="shared" si="9"/>
        <v>59013960.233135082</v>
      </c>
      <c r="P106" s="41">
        <f t="shared" si="9"/>
        <v>66807216.045026258</v>
      </c>
      <c r="Q106" s="41">
        <f t="shared" si="9"/>
        <v>75629632.345548287</v>
      </c>
      <c r="R106" s="42" t="s">
        <v>146</v>
      </c>
      <c r="S106" s="43" t="s">
        <v>147</v>
      </c>
      <c r="T106" s="44">
        <f>(SUM(M4:Q4)/5)</f>
        <v>0.13205783480898181</v>
      </c>
    </row>
    <row r="107" spans="1:20" ht="19" x14ac:dyDescent="0.25">
      <c r="A107" s="5"/>
      <c r="B107" s="13"/>
      <c r="C107" s="13"/>
      <c r="D107" s="13"/>
      <c r="E107" s="13"/>
      <c r="F107" s="13"/>
      <c r="G107" s="13"/>
      <c r="H107" s="13"/>
      <c r="I107" s="13"/>
      <c r="J107" s="13"/>
      <c r="K107" s="13"/>
      <c r="L107" s="13"/>
      <c r="M107" s="42"/>
      <c r="N107" s="42"/>
      <c r="O107" s="42"/>
      <c r="P107" s="42"/>
      <c r="Q107" s="45">
        <f>Q106*(1+T107)/(T108-T107)</f>
        <v>1742176787.5461628</v>
      </c>
      <c r="R107" s="46" t="s">
        <v>148</v>
      </c>
      <c r="S107" s="47" t="s">
        <v>149</v>
      </c>
      <c r="T107" s="48">
        <v>2.5000000000000001E-2</v>
      </c>
    </row>
    <row r="108" spans="1:20" ht="19" x14ac:dyDescent="0.25">
      <c r="M108" s="45">
        <f t="shared" ref="M108:O108" si="10">M107+M106</f>
        <v>46048716.546524957</v>
      </c>
      <c r="N108" s="45">
        <f t="shared" si="10"/>
        <v>52129810.34939158</v>
      </c>
      <c r="O108" s="45">
        <f t="shared" si="10"/>
        <v>59013960.233135082</v>
      </c>
      <c r="P108" s="45">
        <f>P107+P106</f>
        <v>66807216.045026258</v>
      </c>
      <c r="Q108" s="45">
        <f>Q107+Q106</f>
        <v>1817806419.8917112</v>
      </c>
      <c r="R108" s="46" t="s">
        <v>144</v>
      </c>
      <c r="S108" s="49" t="s">
        <v>150</v>
      </c>
      <c r="T108" s="50">
        <f>T105</f>
        <v>6.9496272541533288E-2</v>
      </c>
    </row>
    <row r="109" spans="1:20" ht="19" x14ac:dyDescent="0.25">
      <c r="M109" s="59" t="s">
        <v>151</v>
      </c>
      <c r="N109" s="60"/>
    </row>
    <row r="110" spans="1:20" ht="20" x14ac:dyDescent="0.25">
      <c r="M110" s="51" t="s">
        <v>152</v>
      </c>
      <c r="N110" s="39">
        <f>NPV(T108,M108,N108,O108,P108,Q108)</f>
        <v>1487061559.4117818</v>
      </c>
    </row>
    <row r="111" spans="1:20" ht="20" x14ac:dyDescent="0.25">
      <c r="M111" s="51" t="s">
        <v>153</v>
      </c>
      <c r="N111" s="39">
        <f>L40</f>
        <v>291449000</v>
      </c>
    </row>
    <row r="112" spans="1:20" ht="20" x14ac:dyDescent="0.25">
      <c r="M112" s="51" t="s">
        <v>140</v>
      </c>
      <c r="N112" s="39">
        <f>T99</f>
        <v>914338000</v>
      </c>
    </row>
    <row r="113" spans="13:14" ht="20" x14ac:dyDescent="0.25">
      <c r="M113" s="51" t="s">
        <v>154</v>
      </c>
      <c r="N113" s="39">
        <f>N110+N111-N112</f>
        <v>864172559.41178179</v>
      </c>
    </row>
    <row r="114" spans="13:14" ht="20" x14ac:dyDescent="0.25">
      <c r="M114" s="51" t="s">
        <v>159</v>
      </c>
      <c r="N114" s="52" cm="1">
        <f t="array" ref="N114">_FV(A1,"Shares outstanding",TRUE)</f>
        <v>60352050</v>
      </c>
    </row>
    <row r="115" spans="13:14" ht="20" x14ac:dyDescent="0.25">
      <c r="M115" s="53" t="s">
        <v>155</v>
      </c>
      <c r="N115" s="54">
        <f>N113/N114</f>
        <v>14.318860078684681</v>
      </c>
    </row>
    <row r="116" spans="13:14" ht="20" x14ac:dyDescent="0.25">
      <c r="M116" s="51" t="s">
        <v>156</v>
      </c>
      <c r="N116" s="55" cm="1">
        <f t="array" ref="N116">_FV(A1,"Price")</f>
        <v>44.94</v>
      </c>
    </row>
    <row r="117" spans="13:14" ht="20" x14ac:dyDescent="0.25">
      <c r="M117" s="56" t="s">
        <v>157</v>
      </c>
      <c r="N117" s="57">
        <f>N115/N116-1</f>
        <v>-0.68137828040310011</v>
      </c>
    </row>
    <row r="118" spans="13:14" ht="20" x14ac:dyDescent="0.25">
      <c r="M118" s="56" t="s">
        <v>158</v>
      </c>
      <c r="N118" s="58" t="str">
        <f>IF(N115&gt;N116,"BUY","SELL")</f>
        <v>SELL</v>
      </c>
    </row>
  </sheetData>
  <mergeCells count="6">
    <mergeCell ref="M109:N109"/>
    <mergeCell ref="S83:T83"/>
    <mergeCell ref="S84:T84"/>
    <mergeCell ref="S93:T93"/>
    <mergeCell ref="S98:T98"/>
    <mergeCell ref="S104:T104"/>
  </mergeCells>
  <hyperlinks>
    <hyperlink ref="A1" r:id="rId1" tooltip="https://roic.ai/company/RPD" display="ROIC.AI | RP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60327/000119312516500210/0001193125-16-500210-index.htm" xr:uid="{00000000-0004-0000-0000-00000A000000}"/>
    <hyperlink ref="E74" r:id="rId9" tooltip="https://www.sec.gov/Archives/edgar/data/1560327/000119312516500210/0001193125-16-500210-index.htm" xr:uid="{00000000-0004-0000-0000-00000B000000}"/>
    <hyperlink ref="F36" r:id="rId10" tooltip="https://www.sec.gov/Archives/edgar/data/1560327/000119312517076894/0001193125-17-076894-index.htm" xr:uid="{00000000-0004-0000-0000-00000D000000}"/>
    <hyperlink ref="F74" r:id="rId11" tooltip="https://www.sec.gov/Archives/edgar/data/1560327/000119312517076894/0001193125-17-076894-index.htm" xr:uid="{00000000-0004-0000-0000-00000E000000}"/>
    <hyperlink ref="G36" r:id="rId12" tooltip="https://www.sec.gov/Archives/edgar/data/1560327/000156032718000032/0001560327-18-000032-index.htm" xr:uid="{00000000-0004-0000-0000-000010000000}"/>
    <hyperlink ref="G74" r:id="rId13" tooltip="https://www.sec.gov/Archives/edgar/data/1560327/000156032718000032/0001560327-18-000032-index.htm" xr:uid="{00000000-0004-0000-0000-000011000000}"/>
    <hyperlink ref="H36" r:id="rId14" tooltip="https://www.sec.gov/Archives/edgar/data/1560327/000156032719000046/0001560327-19-000046-index.htm" xr:uid="{00000000-0004-0000-0000-000013000000}"/>
    <hyperlink ref="H74" r:id="rId15" tooltip="https://www.sec.gov/Archives/edgar/data/1560327/000156032719000046/0001560327-19-000046-index.htm" xr:uid="{00000000-0004-0000-0000-000014000000}"/>
    <hyperlink ref="I36" r:id="rId16" tooltip="https://www.sec.gov/Archives/edgar/data/1560327/000156032720000046/0001560327-20-000046-index.htm" xr:uid="{00000000-0004-0000-0000-000016000000}"/>
    <hyperlink ref="I74" r:id="rId17" tooltip="https://www.sec.gov/Archives/edgar/data/1560327/000156032720000046/0001560327-20-000046-index.htm" xr:uid="{00000000-0004-0000-0000-000017000000}"/>
    <hyperlink ref="J36" r:id="rId18" tooltip="https://www.sec.gov/Archives/edgar/data/1560327/000156032721000043/0001560327-21-000043-index.htm" xr:uid="{00000000-0004-0000-0000-000019000000}"/>
    <hyperlink ref="J74" r:id="rId19" tooltip="https://www.sec.gov/Archives/edgar/data/1560327/000156032721000043/0001560327-21-000043-index.htm" xr:uid="{00000000-0004-0000-0000-00001A000000}"/>
    <hyperlink ref="K36" r:id="rId20" tooltip="https://www.sec.gov/Archives/edgar/data/1560327/000156032722000026/0001560327-22-000026-index.htm" xr:uid="{00000000-0004-0000-0000-00001C000000}"/>
    <hyperlink ref="K74" r:id="rId21" tooltip="https://www.sec.gov/Archives/edgar/data/1560327/000156032722000026/0001560327-22-000026-index.htm" xr:uid="{00000000-0004-0000-0000-00001D000000}"/>
    <hyperlink ref="L36" r:id="rId22" tooltip="https://www.sec.gov/Archives/edgar/data/1560327/000156032723000016/0001560327-23-000016-index.htm" xr:uid="{00000000-0004-0000-0000-00001F000000}"/>
    <hyperlink ref="L74" r:id="rId23" tooltip="https://www.sec.gov/Archives/edgar/data/1560327/000156032723000016/0001560327-23-000016-index.htm" xr:uid="{00000000-0004-0000-0000-000020000000}"/>
    <hyperlink ref="M1" r:id="rId24" display="https://finbox.com/NASDAQGM:RPD/explorer/revenue_proj" xr:uid="{C475499E-8024-BF41-ABD3-BC9B0837B130}"/>
  </hyperlinks>
  <pageMargins left="0.7" right="0.7" top="0.75" bottom="0.75" header="0.3" footer="0.3"/>
  <drawing r:id="rId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2023-03-12T15:17:12Z</dcterms:created>
  <dcterms:modified xsi:type="dcterms:W3CDTF">2023-05-19T22:58:24Z</dcterms:modified>
</cp:coreProperties>
</file>