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F286245-135E-E148-95F8-7C499552ED8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6" i="1" l="1" a="1"/>
  <c r="AJ116" i="1" s="1"/>
  <c r="AP101" i="1" a="1"/>
  <c r="AP101" i="1" s="1"/>
  <c r="AP95" i="1" a="1"/>
  <c r="AP95" i="1" s="1"/>
  <c r="AP97" i="1" s="1"/>
  <c r="AJ106" i="1"/>
  <c r="AK106" i="1"/>
  <c r="AL106" i="1" s="1"/>
  <c r="AM106" i="1" s="1"/>
  <c r="AI106" i="1"/>
  <c r="AI108" i="1" s="1"/>
  <c r="AJ114" i="1"/>
  <c r="AJ111" i="1"/>
  <c r="AP90" i="1"/>
  <c r="AP89" i="1"/>
  <c r="AP91" i="1" s="1"/>
  <c r="AP87" i="1"/>
  <c r="AP86" i="1"/>
  <c r="AP99" i="1" s="1"/>
  <c r="AP85" i="1"/>
  <c r="AP88" i="1" s="1"/>
  <c r="AP92" i="1" s="1"/>
  <c r="AN19" i="1"/>
  <c r="AN16" i="1"/>
  <c r="AQ13" i="1"/>
  <c r="AP13" i="1"/>
  <c r="AO13" i="1"/>
  <c r="AN13" i="1"/>
  <c r="AQ10"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O16" i="1"/>
  <c r="AP16" i="1"/>
  <c r="AP106" i="1"/>
  <c r="AJ108" i="1"/>
  <c r="AJ112" i="1"/>
  <c r="AP103" i="1"/>
  <c r="AP102" i="1" s="1"/>
  <c r="AP100" i="1" l="1"/>
  <c r="AP105" i="1" s="1"/>
  <c r="AP108" i="1" s="1"/>
  <c r="AK108" i="1"/>
  <c r="AM107" i="1" l="1"/>
  <c r="AM108" i="1" s="1"/>
  <c r="AJ110" i="1" s="1"/>
  <c r="AJ113" i="1" s="1"/>
  <c r="AJ115" i="1" s="1"/>
  <c r="AL108" i="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<sst xmlns="http://schemas.openxmlformats.org/spreadsheetml/2006/main" count="1075" uniqueCount="160">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</sst>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8" borderId="9" xfId="0" applyFont="1" applyFill="1" applyBorder="1" applyAlignment="1">
      <alignment horizontal="left" vertical="center" wrapText="1"/>
    </xf>
    <xf numFmtId="164" fontId="1" fillId="8"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03482587064673E-2"/>
          <c:y val="0.12119247540277502"/>
          <c:w val="0.87424212271973478"/>
          <c:h val="0.716864718892314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numCache>
            </c:numRef>
          </c:val>
          <c:extLst>
            <c:ext xmlns:c16="http://schemas.microsoft.com/office/drawing/2014/chart" uri="{C3380CC4-5D6E-409C-BE32-E72D297353CC}">
              <c16:uniqueId val="{00000000-6C2B-BF47-BB2B-E4DF1E85609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7000000</c:v>
                </c:pt>
                <c:pt idx="1">
                  <c:v>9200000</c:v>
                </c:pt>
                <c:pt idx="2">
                  <c:v>16300000</c:v>
                </c:pt>
                <c:pt idx="3">
                  <c:v>28600000</c:v>
                </c:pt>
                <c:pt idx="4">
                  <c:v>37200000</c:v>
                </c:pt>
                <c:pt idx="5">
                  <c:v>63200000</c:v>
                </c:pt>
                <c:pt idx="6">
                  <c:v>54600000</c:v>
                </c:pt>
                <c:pt idx="7">
                  <c:v>143800000</c:v>
                </c:pt>
                <c:pt idx="8">
                  <c:v>191700000</c:v>
                </c:pt>
                <c:pt idx="9">
                  <c:v>303400000</c:v>
                </c:pt>
                <c:pt idx="10">
                  <c:v>209708000</c:v>
                </c:pt>
                <c:pt idx="11">
                  <c:v>148695000</c:v>
                </c:pt>
                <c:pt idx="12">
                  <c:v>-172840000</c:v>
                </c:pt>
                <c:pt idx="13">
                  <c:v>403099000</c:v>
                </c:pt>
                <c:pt idx="14">
                  <c:v>284366000</c:v>
                </c:pt>
                <c:pt idx="15">
                  <c:v>167268000</c:v>
                </c:pt>
                <c:pt idx="16">
                  <c:v>158209000</c:v>
                </c:pt>
                <c:pt idx="17">
                  <c:v>271166000</c:v>
                </c:pt>
                <c:pt idx="18">
                  <c:v>316099000</c:v>
                </c:pt>
                <c:pt idx="19">
                  <c:v>334523000</c:v>
                </c:pt>
                <c:pt idx="20">
                  <c:v>299859000</c:v>
                </c:pt>
                <c:pt idx="21">
                  <c:v>347663000</c:v>
                </c:pt>
                <c:pt idx="22">
                  <c:v>359966000</c:v>
                </c:pt>
                <c:pt idx="23">
                  <c:v>464766000</c:v>
                </c:pt>
                <c:pt idx="24">
                  <c:v>466863000</c:v>
                </c:pt>
                <c:pt idx="25">
                  <c:v>496245000</c:v>
                </c:pt>
                <c:pt idx="26">
                  <c:v>540351000</c:v>
                </c:pt>
                <c:pt idx="27">
                  <c:v>579843000</c:v>
                </c:pt>
                <c:pt idx="28">
                  <c:v>588357000</c:v>
                </c:pt>
                <c:pt idx="29">
                  <c:v>758841000</c:v>
                </c:pt>
                <c:pt idx="30">
                  <c:v>854185000</c:v>
                </c:pt>
                <c:pt idx="31">
                  <c:v>1013712000</c:v>
                </c:pt>
                <c:pt idx="32">
                  <c:v>1351775000</c:v>
                </c:pt>
              </c:numCache>
            </c:numRef>
          </c:val>
          <c:extLst>
            <c:ext xmlns:c16="http://schemas.microsoft.com/office/drawing/2014/chart" uri="{C3380CC4-5D6E-409C-BE32-E72D297353CC}">
              <c16:uniqueId val="{00000001-6C2B-BF47-BB2B-E4DF1E85609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numCache>
            </c:numRef>
          </c:val>
          <c:extLst>
            <c:ext xmlns:c16="http://schemas.microsoft.com/office/drawing/2014/chart" uri="{C3380CC4-5D6E-409C-BE32-E72D297353CC}">
              <c16:uniqueId val="{00000002-6C2B-BF47-BB2B-E4DF1E856097}"/>
            </c:ext>
          </c:extLst>
        </c:ser>
        <c:dLbls>
          <c:showLegendKey val="0"/>
          <c:showVal val="0"/>
          <c:showCatName val="0"/>
          <c:showSerName val="0"/>
          <c:showPercent val="0"/>
          <c:showBubbleSize val="0"/>
        </c:dLbls>
        <c:gapWidth val="100"/>
        <c:overlap val="-24"/>
        <c:axId val="1876241071"/>
        <c:axId val="1876242799"/>
      </c:barChart>
      <c:catAx>
        <c:axId val="1876241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242799"/>
        <c:crosses val="autoZero"/>
        <c:auto val="1"/>
        <c:lblAlgn val="ctr"/>
        <c:lblOffset val="100"/>
        <c:noMultiLvlLbl val="0"/>
      </c:catAx>
      <c:valAx>
        <c:axId val="18762427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241071"/>
        <c:crosses val="autoZero"/>
        <c:crossBetween val="between"/>
      </c:valAx>
      <c:spPr>
        <a:noFill/>
        <a:ln>
          <a:noFill/>
        </a:ln>
        <a:effectLst/>
      </c:spPr>
    </c:plotArea>
    <c:legend>
      <c:legendPos val="b"/>
      <c:layout>
        <c:manualLayout>
          <c:xMode val="edge"/>
          <c:yMode val="edge"/>
          <c:x val="0.34797048876353143"/>
          <c:y val="0.91764350599383437"/>
          <c:w val="0.30405891800838331"/>
          <c:h val="5.03958302077636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47624</xdr:colOff>
      <xdr:row>108</xdr:row>
      <xdr:rowOff>25399</xdr:rowOff>
    </xdr:from>
    <xdr:to>
      <xdr:col>41</xdr:col>
      <xdr:colOff>1603374</xdr:colOff>
      <xdr:row>130</xdr:row>
      <xdr:rowOff>190499</xdr:rowOff>
    </xdr:to>
    <xdr:graphicFrame macro="">
      <xdr:nvGraphicFramePr>
        <xdr:cNvPr id="2" name="Chart 1">
          <a:extLst>
            <a:ext uri="{FF2B5EF4-FFF2-40B4-BE49-F238E27FC236}">
              <a16:creationId xmlns:a16="http://schemas.microsoft.com/office/drawing/2014/main" id="{3C30EB2D-0360-7AF9-FC59-B32402228E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418.4</v>
    <v>267</v>
    <v>1.1774</v>
    <v>-1.21</v>
    <v>-2.9529999999999999E-3</v>
    <v>-0.02</v>
    <v>-4.8959999999999999E-5</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19000</v>
    <v>Nasdaq Stock Market</v>
    <v>XNAS</v>
    <v>XNAS</v>
    <v>690 E Middlefield Rd, MOUNTAIN VIEW, CA, 94043 US</v>
    <v>418.4</v>
    <v>Software &amp; IT Services</v>
    <v>Stock</v>
    <v>45065.905392858593</v>
    <v>0</v>
    <v>407.47</v>
    <v>62215244450</v>
    <v>SYNOPSYS, INC.</v>
    <v>SYNOPSYS, INC.</v>
    <v>413.03</v>
    <v>69.141300000000001</v>
    <v>409.71</v>
    <v>408.5</v>
    <v>408.48</v>
    <v>152301700</v>
    <v>SNPS</v>
    <v>SYNOPSYS, INC. (XNAS:SNPS)</v>
    <v>1296671</v>
    <v>690593</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D88" activePane="bottomRight" state="frozen"/>
      <selection pane="topRight"/>
      <selection pane="bottomLeft"/>
      <selection pane="bottomRight" activeCell="AG117" sqref="AG117"/>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8">
        <v>5800000000</v>
      </c>
      <c r="AJ3" s="28">
        <v>6506000000</v>
      </c>
      <c r="AK3" s="28">
        <v>7349000000</v>
      </c>
      <c r="AL3" s="28">
        <v>8277000000</v>
      </c>
      <c r="AM3" s="28">
        <v>9228000000</v>
      </c>
      <c r="AN3" s="18" t="s">
        <v>109</v>
      </c>
      <c r="AO3" s="19" t="s">
        <v>110</v>
      </c>
      <c r="AP3" s="19" t="s">
        <v>111</v>
      </c>
      <c r="AQ3" s="19" t="s">
        <v>112</v>
      </c>
    </row>
    <row r="4" spans="1:43" ht="19" x14ac:dyDescent="0.25">
      <c r="A4" s="14" t="s">
        <v>94</v>
      </c>
      <c r="B4" s="1"/>
      <c r="C4" s="15">
        <f>(C3/B3)-1</f>
        <v>0.83257918552036192</v>
      </c>
      <c r="D4" s="15">
        <f>(D3/C3)-1</f>
        <v>0.55555555555555558</v>
      </c>
      <c r="E4" s="15">
        <f>(E3/D3)-1</f>
        <v>0.71428571428571419</v>
      </c>
      <c r="F4" s="15">
        <f t="shared" ref="F4:AM4" si="0">(F3/E3)-1</f>
        <v>0.81481481481481488</v>
      </c>
      <c r="G4" s="15">
        <f t="shared" si="0"/>
        <v>0.35459183673469385</v>
      </c>
      <c r="H4" s="16">
        <f t="shared" si="0"/>
        <v>0.33145009416195848</v>
      </c>
      <c r="I4" s="16">
        <f t="shared" si="0"/>
        <v>0.4118811881188118</v>
      </c>
      <c r="J4" s="16">
        <f t="shared" si="0"/>
        <v>0.43838910038068524</v>
      </c>
      <c r="K4" s="16">
        <f t="shared" si="0"/>
        <v>0.12285833681571257</v>
      </c>
      <c r="L4" s="16">
        <f t="shared" si="0"/>
        <v>-2.7691353430095544E-2</v>
      </c>
      <c r="M4" s="16">
        <f t="shared" si="0"/>
        <v>-0.13196083584892659</v>
      </c>
      <c r="N4" s="16">
        <f t="shared" si="0"/>
        <v>0.3324524141985743</v>
      </c>
      <c r="O4" s="16">
        <f t="shared" si="0"/>
        <v>0.29833299137153158</v>
      </c>
      <c r="P4" s="16">
        <f t="shared" si="0"/>
        <v>-7.2115739989447647E-2</v>
      </c>
      <c r="Q4" s="16">
        <f t="shared" si="0"/>
        <v>-9.1724780790107929E-2</v>
      </c>
      <c r="R4" s="16">
        <f t="shared" si="0"/>
        <v>0.10447198444246619</v>
      </c>
      <c r="S4" s="16">
        <f t="shared" si="0"/>
        <v>0.10671163605827161</v>
      </c>
      <c r="T4" s="16">
        <f t="shared" si="0"/>
        <v>0.10266819192903087</v>
      </c>
      <c r="U4" s="16">
        <f t="shared" si="0"/>
        <v>1.727363231711565E-2</v>
      </c>
      <c r="V4" s="16">
        <f t="shared" si="0"/>
        <v>1.5158321967287947E-2</v>
      </c>
      <c r="W4" s="16">
        <f t="shared" si="0"/>
        <v>0.11225203000591755</v>
      </c>
      <c r="X4" s="16">
        <f t="shared" si="0"/>
        <v>0.1435060101859611</v>
      </c>
      <c r="Y4" s="16">
        <f t="shared" si="0"/>
        <v>0.11742312289687407</v>
      </c>
      <c r="Z4" s="16">
        <f t="shared" si="0"/>
        <v>4.8546183036101143E-2</v>
      </c>
      <c r="AA4" s="16">
        <f t="shared" si="0"/>
        <v>8.9789314265273035E-2</v>
      </c>
      <c r="AB4" s="16">
        <f t="shared" si="0"/>
        <v>8.0421066527637253E-2</v>
      </c>
      <c r="AC4" s="16">
        <f t="shared" si="0"/>
        <v>0.12480660730178172</v>
      </c>
      <c r="AD4" s="16">
        <f t="shared" si="0"/>
        <v>0.14539282463814929</v>
      </c>
      <c r="AE4" s="16">
        <f t="shared" si="0"/>
        <v>7.6780373834770099E-2</v>
      </c>
      <c r="AF4" s="16">
        <f t="shared" si="0"/>
        <v>9.6583324753756195E-2</v>
      </c>
      <c r="AG4" s="16">
        <f t="shared" si="0"/>
        <v>0.14080663048489384</v>
      </c>
      <c r="AH4" s="16">
        <f t="shared" si="0"/>
        <v>0.20868428257218441</v>
      </c>
      <c r="AI4" s="16">
        <f t="shared" si="0"/>
        <v>0.14138582343705908</v>
      </c>
      <c r="AJ4" s="16">
        <f t="shared" si="0"/>
        <v>0.12172413793103454</v>
      </c>
      <c r="AK4" s="16">
        <f t="shared" si="0"/>
        <v>0.12957270212111904</v>
      </c>
      <c r="AL4" s="16">
        <f t="shared" si="0"/>
        <v>0.12627568376649889</v>
      </c>
      <c r="AM4" s="16">
        <f t="shared" si="0"/>
        <v>0.11489670170351585</v>
      </c>
      <c r="AN4" s="17">
        <f>(AH4+AG4+AF4)/3</f>
        <v>0.14869141260361149</v>
      </c>
      <c r="AO4" s="17">
        <f>(AH20+AG20+AF20)/3</f>
        <v>0.21529791008005073</v>
      </c>
      <c r="AP4" s="17">
        <f>(AH29+AG29+AF29)/3</f>
        <v>0.22930658692320841</v>
      </c>
      <c r="AQ4" s="17">
        <f>(AH105+AG105+AF105)/3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N6" s="18" t="s">
        <v>113</v>
      </c>
      <c r="AO6" s="19" t="s">
        <v>114</v>
      </c>
      <c r="AP6" s="19" t="s">
        <v>115</v>
      </c>
      <c r="AQ6" s="19" t="s">
        <v>116</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N7" s="17">
        <f>AH7</f>
        <v>0.79069999999999996</v>
      </c>
      <c r="AO7" s="20">
        <f>AH21</f>
        <v>0.26600000000000001</v>
      </c>
      <c r="AP7" s="20">
        <f>AH30</f>
        <v>0.1938</v>
      </c>
      <c r="AQ7" s="20">
        <f>AH106/AH3</f>
        <v>0.31482923884128083</v>
      </c>
    </row>
    <row r="8" spans="1:43" ht="19" x14ac:dyDescent="0.25">
      <c r="A8" s="5" t="s">
        <v>5</v>
      </c>
      <c r="B8" s="1" t="s">
        <v>92</v>
      </c>
      <c r="C8" s="1" t="s">
        <v>92</v>
      </c>
      <c r="D8" s="1" t="s">
        <v>92</v>
      </c>
      <c r="E8" s="1" t="s">
        <v>92</v>
      </c>
      <c r="F8" s="1" t="s">
        <v>92</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95</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v>161800000</v>
      </c>
      <c r="I10" s="1">
        <v>215200000</v>
      </c>
      <c r="J10" s="1">
        <v>292600000</v>
      </c>
      <c r="K10" s="1" t="s">
        <v>92</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117</v>
      </c>
      <c r="AO12" s="19" t="s">
        <v>118</v>
      </c>
      <c r="AP12" s="19" t="s">
        <v>119</v>
      </c>
      <c r="AQ12" s="19" t="s">
        <v>120</v>
      </c>
    </row>
    <row r="13" spans="1:43" ht="19" x14ac:dyDescent="0.25">
      <c r="A13" s="14" t="s">
        <v>100</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121</v>
      </c>
      <c r="AO15" s="19" t="s">
        <v>122</v>
      </c>
      <c r="AP15" s="19" t="s">
        <v>123</v>
      </c>
      <c r="AQ15" s="19" t="s">
        <v>124</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9">
        <f>(AH35+AG35+AF35+AE35+AD35)/5</f>
        <v>2.1050524172133381E-3</v>
      </c>
      <c r="AO16" s="30">
        <f>AP101/AH3</f>
        <v>12.243378968431236</v>
      </c>
      <c r="AP16" s="30">
        <f>AP101/AH28</f>
        <v>63.188730024761476</v>
      </c>
      <c r="AQ16" s="31">
        <f>AP101/AH106</f>
        <v>38.888951399471686</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v>1991000</v>
      </c>
      <c r="Y17" s="1">
        <v>1696000</v>
      </c>
      <c r="Z17" s="1">
        <v>1895000</v>
      </c>
      <c r="AA17" s="1">
        <v>2814000</v>
      </c>
      <c r="AB17" s="1">
        <v>3771000</v>
      </c>
      <c r="AC17" s="1">
        <v>7303000</v>
      </c>
      <c r="AD17" s="1">
        <v>15607000</v>
      </c>
      <c r="AE17" s="1">
        <v>11659000</v>
      </c>
      <c r="AF17" s="1">
        <v>5140000</v>
      </c>
      <c r="AG17" s="1">
        <v>3365000</v>
      </c>
      <c r="AH17" s="1">
        <v>1698000</v>
      </c>
    </row>
    <row r="18" spans="1:40"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125</v>
      </c>
    </row>
    <row r="19" spans="1:40"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N19" s="32">
        <f>AH40-AH56-AH61</f>
        <v>909150000</v>
      </c>
    </row>
    <row r="20" spans="1:40" ht="19" customHeight="1" x14ac:dyDescent="0.25">
      <c r="A20" s="14" t="s">
        <v>101</v>
      </c>
      <c r="B20" s="1"/>
      <c r="C20" s="15">
        <f>(C19/B19)-1</f>
        <v>0.31428571428571428</v>
      </c>
      <c r="D20" s="15">
        <f>(D19/C19)-1</f>
        <v>0.77173913043478271</v>
      </c>
      <c r="E20" s="15">
        <f>(E19/D19)-1</f>
        <v>0.75460122699386512</v>
      </c>
      <c r="F20" s="15">
        <f t="shared" ref="F20:AH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row>
    <row r="21" spans="1:40" ht="19"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row>
    <row r="22" spans="1:40"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row>
    <row r="23" spans="1:40"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0"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0"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0"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0"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0"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row>
    <row r="29" spans="1:40" ht="20" customHeight="1" thickTop="1" x14ac:dyDescent="0.25">
      <c r="A29" s="14" t="s">
        <v>102</v>
      </c>
      <c r="B29" s="1"/>
      <c r="C29" s="15">
        <f>(C28/B28)-1</f>
        <v>-0.125</v>
      </c>
      <c r="D29" s="15">
        <f>(D28/C28)-1</f>
        <v>1.0285714285714285</v>
      </c>
      <c r="E29" s="15">
        <f>(E28/D28)-1</f>
        <v>0.85915492957746475</v>
      </c>
      <c r="F29" s="15">
        <f t="shared" ref="F29:AH29" si="4">(F28/E28)-1</f>
        <v>0.19696969696969702</v>
      </c>
      <c r="G29" s="15">
        <f t="shared" si="4"/>
        <v>0.91772151898734178</v>
      </c>
      <c r="H29" s="15">
        <f t="shared" si="4"/>
        <v>-0.21782178217821779</v>
      </c>
      <c r="I29" s="15">
        <f t="shared" si="4"/>
        <v>2.0548523206751055</v>
      </c>
      <c r="J29" s="15">
        <f t="shared" si="4"/>
        <v>0.26657458563535918</v>
      </c>
      <c r="K29" s="15">
        <f t="shared" si="4"/>
        <v>0.76008724100327152</v>
      </c>
      <c r="L29" s="15">
        <f t="shared" si="4"/>
        <v>-0.3941883519206939</v>
      </c>
      <c r="M29" s="15">
        <f t="shared" si="4"/>
        <v>-0.41907177483687541</v>
      </c>
      <c r="N29" s="15">
        <f t="shared" si="4"/>
        <v>-4.5208795464948413</v>
      </c>
      <c r="O29" s="15">
        <f t="shared" si="4"/>
        <v>-1.7486462026170915</v>
      </c>
      <c r="P29" s="15">
        <f t="shared" si="4"/>
        <v>-0.50350645187144338</v>
      </c>
      <c r="Q29" s="15">
        <f t="shared" si="4"/>
        <v>-1.2082139446036293</v>
      </c>
      <c r="R29" s="15">
        <f t="shared" si="4"/>
        <v>-2.5985269414653054</v>
      </c>
      <c r="S29" s="15">
        <f t="shared" si="4"/>
        <v>4.2740683857408452</v>
      </c>
      <c r="T29" s="15">
        <f t="shared" si="4"/>
        <v>0.4558705198059636</v>
      </c>
      <c r="U29" s="15">
        <f t="shared" si="4"/>
        <v>-0.11736622135194597</v>
      </c>
      <c r="V29" s="15">
        <f t="shared" si="4"/>
        <v>0.41377377281862593</v>
      </c>
      <c r="W29" s="15">
        <f t="shared" si="4"/>
        <v>-6.6222902772680725E-2</v>
      </c>
      <c r="X29" s="15">
        <f t="shared" si="4"/>
        <v>-0.17600874577618764</v>
      </c>
      <c r="Y29" s="15">
        <f t="shared" si="4"/>
        <v>0.35853773533184952</v>
      </c>
      <c r="Z29" s="15">
        <f t="shared" si="4"/>
        <v>4.5698143664245405E-2</v>
      </c>
      <c r="AA29" s="15">
        <f t="shared" si="4"/>
        <v>-0.12808539540914776</v>
      </c>
      <c r="AB29" s="15">
        <f t="shared" si="4"/>
        <v>0.18099090884948699</v>
      </c>
      <c r="AC29" s="15">
        <f t="shared" si="4"/>
        <v>-0.4881945537541319</v>
      </c>
      <c r="AD29" s="15">
        <f t="shared" si="4"/>
        <v>2.1671682666608088</v>
      </c>
      <c r="AE29" s="15">
        <f t="shared" si="4"/>
        <v>0.23085513204074748</v>
      </c>
      <c r="AF29" s="15">
        <f t="shared" si="4"/>
        <v>0.24791168498423088</v>
      </c>
      <c r="AG29" s="15">
        <f t="shared" si="4"/>
        <v>0.14024147019554545</v>
      </c>
      <c r="AH29" s="15">
        <f t="shared" si="4"/>
        <v>0.29976660558984891</v>
      </c>
    </row>
    <row r="30" spans="1:40"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row>
    <row r="31" spans="1:40"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row>
    <row r="32" spans="1:40"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103</v>
      </c>
      <c r="B35" s="1"/>
      <c r="C35" s="22">
        <f>(C34-B34)/B34</f>
        <v>0.12500001125000013</v>
      </c>
      <c r="D35" s="22">
        <f t="shared" ref="D35:AH35" si="5">(D34-C34)/C34</f>
        <v>0.18333334000000001</v>
      </c>
      <c r="E35" s="22">
        <f t="shared" si="5"/>
        <v>6.2374241902116948E-2</v>
      </c>
      <c r="F35" s="22">
        <f t="shared" si="5"/>
        <v>0.17992424504562671</v>
      </c>
      <c r="G35" s="22">
        <f t="shared" si="5"/>
        <v>0.27668538752051514</v>
      </c>
      <c r="H35" s="22">
        <f t="shared" si="5"/>
        <v>-0.11991199471947195</v>
      </c>
      <c r="I35" s="22">
        <f t="shared" si="5"/>
        <v>0.40329411761317646</v>
      </c>
      <c r="J35" s="22">
        <f t="shared" si="5"/>
        <v>0.17028068881400679</v>
      </c>
      <c r="K35" s="22">
        <f t="shared" si="5"/>
        <v>7.2997500986452718E-2</v>
      </c>
      <c r="L35" s="22">
        <f t="shared" si="5"/>
        <v>-3.3014627768243848E-2</v>
      </c>
      <c r="M35" s="22">
        <f t="shared" si="5"/>
        <v>-8.9284205188878557E-2</v>
      </c>
      <c r="N35" s="22">
        <f t="shared" si="5"/>
        <v>3.3235899101439863E-2</v>
      </c>
      <c r="O35" s="22">
        <f t="shared" si="5"/>
        <v>0.18493294216261524</v>
      </c>
      <c r="P35" s="22">
        <f t="shared" si="5"/>
        <v>1.0516276543334639E-2</v>
      </c>
      <c r="Q35" s="22">
        <f t="shared" si="5"/>
        <v>-9.3886531117375355E-2</v>
      </c>
      <c r="R35" s="22">
        <f t="shared" si="5"/>
        <v>-1.6693108919086709E-3</v>
      </c>
      <c r="S35" s="22">
        <f t="shared" si="5"/>
        <v>3.4464650931402357E-2</v>
      </c>
      <c r="T35" s="22">
        <f t="shared" si="5"/>
        <v>-1.3652515429212643E-2</v>
      </c>
      <c r="U35" s="22">
        <f t="shared" si="5"/>
        <v>-1.229075247846579E-2</v>
      </c>
      <c r="V35" s="22">
        <f t="shared" si="5"/>
        <v>4.1506406960241882E-2</v>
      </c>
      <c r="W35" s="22">
        <f t="shared" si="5"/>
        <v>-1.0163845936107327E-2</v>
      </c>
      <c r="X35" s="22">
        <f t="shared" si="5"/>
        <v>-5.7858439684239232E-4</v>
      </c>
      <c r="Y35" s="22">
        <f t="shared" si="5"/>
        <v>4.206148522757519E-2</v>
      </c>
      <c r="Z35" s="22">
        <f t="shared" si="5"/>
        <v>7.0816916877925427E-3</v>
      </c>
      <c r="AA35" s="22">
        <f t="shared" si="5"/>
        <v>2.2509669646820114E-3</v>
      </c>
      <c r="AB35" s="22">
        <f t="shared" si="5"/>
        <v>-2.1155853604529783E-2</v>
      </c>
      <c r="AC35" s="22">
        <f t="shared" si="5"/>
        <v>9.8887675234777444E-4</v>
      </c>
      <c r="AD35" s="22">
        <f t="shared" si="5"/>
        <v>-9.5626121879721585E-3</v>
      </c>
      <c r="AE35" s="22">
        <f t="shared" si="5"/>
        <v>5.1958042413930228E-3</v>
      </c>
      <c r="AF35" s="22">
        <f t="shared" si="5"/>
        <v>9.8320254231791943E-3</v>
      </c>
      <c r="AG35" s="22">
        <f t="shared" si="5"/>
        <v>1.0494136385238847E-2</v>
      </c>
      <c r="AH35" s="22">
        <f t="shared" si="5"/>
        <v>-5.4340917757722132E-3</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t="s">
        <v>92</v>
      </c>
      <c r="C38" s="1" t="s">
        <v>92</v>
      </c>
      <c r="D38" s="1" t="s">
        <v>92</v>
      </c>
      <c r="E38" s="1" t="s">
        <v>92</v>
      </c>
      <c r="F38" s="1" t="s">
        <v>92</v>
      </c>
      <c r="G38" s="1" t="s">
        <v>92</v>
      </c>
      <c r="H38" s="1" t="s">
        <v>92</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92</v>
      </c>
      <c r="Y39" s="1" t="s">
        <v>92</v>
      </c>
      <c r="Z39" s="1" t="s">
        <v>92</v>
      </c>
      <c r="AA39" s="1">
        <v>128747000</v>
      </c>
      <c r="AB39" s="1">
        <v>140695000</v>
      </c>
      <c r="AC39" s="1" t="s">
        <v>92</v>
      </c>
      <c r="AD39" s="1" t="s">
        <v>92</v>
      </c>
      <c r="AE39" s="1" t="s">
        <v>92</v>
      </c>
      <c r="AF39" s="1" t="s">
        <v>92</v>
      </c>
      <c r="AG39" s="1">
        <v>147949000</v>
      </c>
      <c r="AH39" s="1">
        <v>147913000</v>
      </c>
    </row>
    <row r="40" spans="1:34" ht="19" x14ac:dyDescent="0.25">
      <c r="A40" s="5" t="s">
        <v>32</v>
      </c>
      <c r="B40" s="1" t="s">
        <v>92</v>
      </c>
      <c r="C40" s="1" t="s">
        <v>92</v>
      </c>
      <c r="D40" s="1" t="s">
        <v>92</v>
      </c>
      <c r="E40" s="1" t="s">
        <v>92</v>
      </c>
      <c r="F40" s="1" t="s">
        <v>92</v>
      </c>
      <c r="G40" s="1" t="s">
        <v>92</v>
      </c>
      <c r="H40" s="1" t="s">
        <v>92</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92</v>
      </c>
      <c r="C41" s="1" t="s">
        <v>92</v>
      </c>
      <c r="D41" s="1" t="s">
        <v>92</v>
      </c>
      <c r="E41" s="1" t="s">
        <v>92</v>
      </c>
      <c r="F41" s="1" t="s">
        <v>92</v>
      </c>
      <c r="G41" s="1" t="s">
        <v>92</v>
      </c>
      <c r="H41" s="1" t="s">
        <v>92</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v>122407000</v>
      </c>
      <c r="AE42" s="1">
        <v>141518000</v>
      </c>
      <c r="AF42" s="1">
        <v>192333000</v>
      </c>
      <c r="AG42" s="1">
        <v>229023000</v>
      </c>
      <c r="AH42" s="1">
        <v>211927000</v>
      </c>
    </row>
    <row r="43" spans="1:34" ht="19" x14ac:dyDescent="0.25">
      <c r="A43" s="5" t="s">
        <v>35</v>
      </c>
      <c r="B43" s="1" t="s">
        <v>92</v>
      </c>
      <c r="C43" s="1" t="s">
        <v>92</v>
      </c>
      <c r="D43" s="1" t="s">
        <v>92</v>
      </c>
      <c r="E43" s="1" t="s">
        <v>92</v>
      </c>
      <c r="F43" s="1" t="s">
        <v>92</v>
      </c>
      <c r="G43" s="1" t="s">
        <v>92</v>
      </c>
      <c r="H43" s="1" t="s">
        <v>92</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92</v>
      </c>
      <c r="C44" s="10" t="s">
        <v>92</v>
      </c>
      <c r="D44" s="10" t="s">
        <v>92</v>
      </c>
      <c r="E44" s="10" t="s">
        <v>92</v>
      </c>
      <c r="F44" s="10" t="s">
        <v>92</v>
      </c>
      <c r="G44" s="10" t="s">
        <v>92</v>
      </c>
      <c r="H44" s="10" t="s">
        <v>92</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92</v>
      </c>
      <c r="C45" s="1" t="s">
        <v>92</v>
      </c>
      <c r="D45" s="1" t="s">
        <v>92</v>
      </c>
      <c r="E45" s="1" t="s">
        <v>92</v>
      </c>
      <c r="F45" s="1" t="s">
        <v>92</v>
      </c>
      <c r="G45" s="1" t="s">
        <v>92</v>
      </c>
      <c r="H45" s="1" t="s">
        <v>92</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92</v>
      </c>
      <c r="C47" s="1" t="s">
        <v>92</v>
      </c>
      <c r="D47" s="1" t="s">
        <v>92</v>
      </c>
      <c r="E47" s="1" t="s">
        <v>92</v>
      </c>
      <c r="F47" s="1" t="s">
        <v>92</v>
      </c>
      <c r="G47" s="1" t="s">
        <v>92</v>
      </c>
      <c r="H47" s="1" t="s">
        <v>92</v>
      </c>
      <c r="I47" s="1" t="s">
        <v>92</v>
      </c>
      <c r="J47" s="1" t="s">
        <v>92</v>
      </c>
      <c r="K47" s="1" t="s">
        <v>92</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92</v>
      </c>
      <c r="C48" s="1" t="s">
        <v>92</v>
      </c>
      <c r="D48" s="1" t="s">
        <v>92</v>
      </c>
      <c r="E48" s="1" t="s">
        <v>92</v>
      </c>
      <c r="F48" s="1" t="s">
        <v>92</v>
      </c>
      <c r="G48" s="1" t="s">
        <v>92</v>
      </c>
      <c r="H48" s="1" t="s">
        <v>92</v>
      </c>
      <c r="I48" s="1" t="s">
        <v>92</v>
      </c>
      <c r="J48" s="1" t="s">
        <v>92</v>
      </c>
      <c r="K48" s="1" t="s">
        <v>92</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35085000</v>
      </c>
      <c r="O50" s="1" t="s">
        <v>92</v>
      </c>
      <c r="P50" s="1" t="s">
        <v>92</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92</v>
      </c>
      <c r="C51" s="1" t="s">
        <v>92</v>
      </c>
      <c r="D51" s="1" t="s">
        <v>92</v>
      </c>
      <c r="E51" s="1" t="s">
        <v>92</v>
      </c>
      <c r="F51" s="1" t="s">
        <v>92</v>
      </c>
      <c r="G51" s="1" t="s">
        <v>92</v>
      </c>
      <c r="H51" s="1" t="s">
        <v>92</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92</v>
      </c>
      <c r="C52" s="1" t="s">
        <v>92</v>
      </c>
      <c r="D52" s="1" t="s">
        <v>92</v>
      </c>
      <c r="E52" s="1" t="s">
        <v>92</v>
      </c>
      <c r="F52" s="1" t="s">
        <v>92</v>
      </c>
      <c r="G52" s="1" t="s">
        <v>92</v>
      </c>
      <c r="H52" s="1" t="s">
        <v>92</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t="s">
        <v>92</v>
      </c>
      <c r="C54" s="11" t="s">
        <v>92</v>
      </c>
      <c r="D54" s="11" t="s">
        <v>92</v>
      </c>
      <c r="E54" s="11" t="s">
        <v>92</v>
      </c>
      <c r="F54" s="11" t="s">
        <v>92</v>
      </c>
      <c r="G54" s="11" t="s">
        <v>92</v>
      </c>
      <c r="H54" s="11" t="s">
        <v>92</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92</v>
      </c>
      <c r="C55" s="1" t="s">
        <v>92</v>
      </c>
      <c r="D55" s="1" t="s">
        <v>92</v>
      </c>
      <c r="E55" s="1" t="s">
        <v>92</v>
      </c>
      <c r="F55" s="1" t="s">
        <v>92</v>
      </c>
      <c r="G55" s="1" t="s">
        <v>92</v>
      </c>
      <c r="H55" s="1" t="s">
        <v>92</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92</v>
      </c>
      <c r="C56" s="1" t="s">
        <v>92</v>
      </c>
      <c r="D56" s="1" t="s">
        <v>92</v>
      </c>
      <c r="E56" s="1" t="s">
        <v>92</v>
      </c>
      <c r="F56" s="1" t="s">
        <v>92</v>
      </c>
      <c r="G56" s="1" t="s">
        <v>92</v>
      </c>
      <c r="H56" s="1" t="s">
        <v>92</v>
      </c>
      <c r="I56" s="1">
        <v>11600000</v>
      </c>
      <c r="J56" s="1">
        <v>8900000</v>
      </c>
      <c r="K56" s="1">
        <v>7600000</v>
      </c>
      <c r="L56" s="1">
        <v>6416000</v>
      </c>
      <c r="M56" s="1">
        <v>535000</v>
      </c>
      <c r="N56" s="1">
        <v>1423000</v>
      </c>
      <c r="O56" s="1" t="s">
        <v>92</v>
      </c>
      <c r="P56" s="1" t="s">
        <v>92</v>
      </c>
      <c r="Q56" s="1" t="s">
        <v>92</v>
      </c>
      <c r="R56" s="1" t="s">
        <v>92</v>
      </c>
      <c r="S56" s="1" t="s">
        <v>92</v>
      </c>
      <c r="T56" s="1" t="s">
        <v>92</v>
      </c>
      <c r="U56" s="1" t="s">
        <v>92</v>
      </c>
      <c r="V56" s="1" t="s">
        <v>92</v>
      </c>
      <c r="W56" s="1" t="s">
        <v>92</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46443000</v>
      </c>
      <c r="AH57" s="1" t="s">
        <v>92</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92</v>
      </c>
      <c r="C59" s="1" t="s">
        <v>92</v>
      </c>
      <c r="D59" s="1" t="s">
        <v>92</v>
      </c>
      <c r="E59" s="1" t="s">
        <v>92</v>
      </c>
      <c r="F59" s="1" t="s">
        <v>92</v>
      </c>
      <c r="G59" s="1" t="s">
        <v>92</v>
      </c>
      <c r="H59" s="1" t="s">
        <v>92</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92</v>
      </c>
      <c r="C60" s="10" t="s">
        <v>92</v>
      </c>
      <c r="D60" s="10" t="s">
        <v>92</v>
      </c>
      <c r="E60" s="10" t="s">
        <v>92</v>
      </c>
      <c r="F60" s="10" t="s">
        <v>92</v>
      </c>
      <c r="G60" s="10" t="s">
        <v>92</v>
      </c>
      <c r="H60" s="10" t="s">
        <v>92</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92</v>
      </c>
      <c r="C61" s="1" t="s">
        <v>92</v>
      </c>
      <c r="D61" s="1" t="s">
        <v>92</v>
      </c>
      <c r="E61" s="1" t="s">
        <v>92</v>
      </c>
      <c r="F61" s="1" t="s">
        <v>92</v>
      </c>
      <c r="G61" s="1" t="s">
        <v>92</v>
      </c>
      <c r="H61" s="1" t="s">
        <v>92</v>
      </c>
      <c r="I61" s="1">
        <v>16000000</v>
      </c>
      <c r="J61" s="1">
        <v>9000000</v>
      </c>
      <c r="K61" s="1">
        <v>13100000</v>
      </c>
      <c r="L61" s="1">
        <v>564000</v>
      </c>
      <c r="M61" s="1">
        <v>73000</v>
      </c>
      <c r="N61" s="1" t="s">
        <v>92</v>
      </c>
      <c r="O61" s="1" t="s">
        <v>92</v>
      </c>
      <c r="P61" s="1" t="s">
        <v>92</v>
      </c>
      <c r="Q61" s="1" t="s">
        <v>92</v>
      </c>
      <c r="R61" s="1" t="s">
        <v>92</v>
      </c>
      <c r="S61" s="1" t="s">
        <v>92</v>
      </c>
      <c r="T61" s="1" t="s">
        <v>92</v>
      </c>
      <c r="U61" s="1" t="s">
        <v>92</v>
      </c>
      <c r="V61" s="1" t="s">
        <v>92</v>
      </c>
      <c r="W61" s="1" t="s">
        <v>92</v>
      </c>
      <c r="X61" s="1">
        <v>105000000</v>
      </c>
      <c r="Y61" s="1">
        <v>75000000</v>
      </c>
      <c r="Z61" s="1">
        <v>45000000</v>
      </c>
      <c r="AA61" s="1" t="s">
        <v>92</v>
      </c>
      <c r="AB61" s="1" t="s">
        <v>92</v>
      </c>
      <c r="AC61" s="1">
        <v>134063000</v>
      </c>
      <c r="AD61" s="1">
        <v>125535000</v>
      </c>
      <c r="AE61" s="1">
        <v>120093000</v>
      </c>
      <c r="AF61" s="1">
        <v>100823000</v>
      </c>
      <c r="AG61" s="1">
        <v>512097000</v>
      </c>
      <c r="AH61" s="1">
        <v>602097000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v>152745000</v>
      </c>
      <c r="U63" s="1" t="s">
        <v>92</v>
      </c>
      <c r="V63" s="1" t="s">
        <v>92</v>
      </c>
      <c r="W63" s="1" t="s">
        <v>92</v>
      </c>
      <c r="X63" s="1">
        <v>52645000</v>
      </c>
      <c r="Y63" s="1" t="s">
        <v>92</v>
      </c>
      <c r="Z63" s="1" t="s">
        <v>92</v>
      </c>
      <c r="AA63" s="1" t="s">
        <v>92</v>
      </c>
      <c r="AB63" s="1" t="s">
        <v>92</v>
      </c>
      <c r="AC63" s="1" t="s">
        <v>92</v>
      </c>
      <c r="AD63" s="1" t="s">
        <v>92</v>
      </c>
      <c r="AE63" s="1" t="s">
        <v>92</v>
      </c>
      <c r="AF63" s="1" t="s">
        <v>92</v>
      </c>
      <c r="AG63" s="1" t="s">
        <v>92</v>
      </c>
      <c r="AH63" s="1" t="s">
        <v>92</v>
      </c>
    </row>
    <row r="64" spans="1:34" ht="19" x14ac:dyDescent="0.25">
      <c r="A64" s="5" t="s">
        <v>55</v>
      </c>
      <c r="B64" s="1" t="s">
        <v>92</v>
      </c>
      <c r="C64" s="1" t="s">
        <v>92</v>
      </c>
      <c r="D64" s="1" t="s">
        <v>92</v>
      </c>
      <c r="E64" s="1" t="s">
        <v>92</v>
      </c>
      <c r="F64" s="1" t="s">
        <v>92</v>
      </c>
      <c r="G64" s="1" t="s">
        <v>92</v>
      </c>
      <c r="H64" s="1" t="s">
        <v>92</v>
      </c>
      <c r="I64" s="1" t="s">
        <v>92</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92</v>
      </c>
      <c r="C65" s="1" t="s">
        <v>92</v>
      </c>
      <c r="D65" s="1" t="s">
        <v>92</v>
      </c>
      <c r="E65" s="1" t="s">
        <v>92</v>
      </c>
      <c r="F65" s="1" t="s">
        <v>92</v>
      </c>
      <c r="G65" s="1" t="s">
        <v>92</v>
      </c>
      <c r="H65" s="1" t="s">
        <v>92</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t="s">
        <v>92</v>
      </c>
      <c r="C67" s="10" t="s">
        <v>92</v>
      </c>
      <c r="D67" s="10" t="s">
        <v>92</v>
      </c>
      <c r="E67" s="10" t="s">
        <v>92</v>
      </c>
      <c r="F67" s="10" t="s">
        <v>92</v>
      </c>
      <c r="G67" s="10" t="s">
        <v>92</v>
      </c>
      <c r="H67" s="10" t="s">
        <v>92</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92</v>
      </c>
      <c r="C68" s="1" t="s">
        <v>92</v>
      </c>
      <c r="D68" s="1" t="s">
        <v>92</v>
      </c>
      <c r="E68" s="1" t="s">
        <v>92</v>
      </c>
      <c r="F68" s="1" t="s">
        <v>92</v>
      </c>
      <c r="G68" s="1" t="s">
        <v>92</v>
      </c>
      <c r="H68" s="1" t="s">
        <v>92</v>
      </c>
      <c r="I68" s="1" t="s">
        <v>92</v>
      </c>
      <c r="J68" s="1" t="s">
        <v>92</v>
      </c>
      <c r="K68" s="1" t="s">
        <v>92</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92</v>
      </c>
      <c r="C69" s="1" t="s">
        <v>92</v>
      </c>
      <c r="D69" s="1" t="s">
        <v>92</v>
      </c>
      <c r="E69" s="1" t="s">
        <v>92</v>
      </c>
      <c r="F69" s="1" t="s">
        <v>92</v>
      </c>
      <c r="G69" s="1" t="s">
        <v>92</v>
      </c>
      <c r="H69" s="1" t="s">
        <v>92</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92</v>
      </c>
      <c r="C70" s="1" t="s">
        <v>92</v>
      </c>
      <c r="D70" s="1" t="s">
        <v>92</v>
      </c>
      <c r="E70" s="1" t="s">
        <v>92</v>
      </c>
      <c r="F70" s="1" t="s">
        <v>92</v>
      </c>
      <c r="G70" s="1" t="s">
        <v>92</v>
      </c>
      <c r="H70" s="1" t="s">
        <v>92</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92</v>
      </c>
      <c r="C71" s="1" t="s">
        <v>92</v>
      </c>
      <c r="D71" s="1" t="s">
        <v>92</v>
      </c>
      <c r="E71" s="1" t="s">
        <v>92</v>
      </c>
      <c r="F71" s="1" t="s">
        <v>92</v>
      </c>
      <c r="G71" s="1" t="s">
        <v>92</v>
      </c>
      <c r="H71" s="1" t="s">
        <v>92</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92</v>
      </c>
      <c r="C72" s="10" t="s">
        <v>92</v>
      </c>
      <c r="D72" s="10" t="s">
        <v>92</v>
      </c>
      <c r="E72" s="10" t="s">
        <v>92</v>
      </c>
      <c r="F72" s="10" t="s">
        <v>92</v>
      </c>
      <c r="G72" s="10" t="s">
        <v>92</v>
      </c>
      <c r="H72" s="10" t="s">
        <v>92</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92</v>
      </c>
      <c r="C73" s="11" t="s">
        <v>92</v>
      </c>
      <c r="D73" s="11" t="s">
        <v>92</v>
      </c>
      <c r="E73" s="11" t="s">
        <v>92</v>
      </c>
      <c r="F73" s="11" t="s">
        <v>92</v>
      </c>
      <c r="G73" s="11" t="s">
        <v>92</v>
      </c>
      <c r="H73" s="11" t="s">
        <v>92</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92</v>
      </c>
      <c r="C78" s="1" t="s">
        <v>92</v>
      </c>
      <c r="D78" s="1" t="s">
        <v>92</v>
      </c>
      <c r="E78" s="1" t="s">
        <v>92</v>
      </c>
      <c r="F78" s="1" t="s">
        <v>92</v>
      </c>
      <c r="G78" s="1" t="s">
        <v>92</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4.1861850159369725E-2</v>
      </c>
      <c r="V80" s="15">
        <f t="shared" si="6"/>
        <v>4.3448753893968177E-2</v>
      </c>
      <c r="W80" s="15">
        <f t="shared" si="6"/>
        <v>3.6736402926982381E-2</v>
      </c>
      <c r="X80" s="15">
        <f t="shared" si="6"/>
        <v>4.066817120790972E-2</v>
      </c>
      <c r="Y80" s="15">
        <f t="shared" si="6"/>
        <v>3.4405523556553977E-2</v>
      </c>
      <c r="Z80" s="15">
        <f t="shared" si="6"/>
        <v>3.8610488988428518E-2</v>
      </c>
      <c r="AA80" s="15">
        <f t="shared" si="6"/>
        <v>3.8533394047215001E-2</v>
      </c>
      <c r="AB80" s="15">
        <f t="shared" si="6"/>
        <v>4.0281408047447877E-2</v>
      </c>
      <c r="AC80" s="15">
        <f t="shared" si="6"/>
        <v>3.9742667567012127E-2</v>
      </c>
      <c r="AD80" s="15">
        <f t="shared" si="6"/>
        <v>4.4866836822641552E-2</v>
      </c>
      <c r="AE80" s="15">
        <f t="shared" si="6"/>
        <v>4.6121723667790049E-2</v>
      </c>
      <c r="AF80" s="15">
        <f t="shared" si="6"/>
        <v>6.7453200990643586E-2</v>
      </c>
      <c r="AG80" s="15">
        <f t="shared" si="6"/>
        <v>8.2125630293376162E-2</v>
      </c>
      <c r="AH80" s="15">
        <f t="shared" si="6"/>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v>-66509000</v>
      </c>
      <c r="AE83" s="1">
        <v>-19243000</v>
      </c>
      <c r="AF83" s="1">
        <v>-55024000</v>
      </c>
      <c r="AG83" s="1">
        <v>-48046000</v>
      </c>
      <c r="AH83" s="1">
        <v>1320000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10566000</v>
      </c>
      <c r="W84" s="1" t="s">
        <v>92</v>
      </c>
      <c r="X84" s="1" t="s">
        <v>92</v>
      </c>
      <c r="Y84" s="1" t="s">
        <v>92</v>
      </c>
      <c r="Z84" s="1" t="s">
        <v>92</v>
      </c>
      <c r="AA84" s="1" t="s">
        <v>92</v>
      </c>
      <c r="AB84" s="1" t="s">
        <v>92</v>
      </c>
      <c r="AC84" s="1" t="s">
        <v>92</v>
      </c>
      <c r="AD84" s="1" t="s">
        <v>92</v>
      </c>
      <c r="AE84" s="1" t="s">
        <v>92</v>
      </c>
      <c r="AF84" s="1" t="s">
        <v>92</v>
      </c>
      <c r="AG84" s="1" t="s">
        <v>92</v>
      </c>
      <c r="AH84" s="1" t="s">
        <v>92</v>
      </c>
      <c r="AO84" s="64" t="s">
        <v>127</v>
      </c>
      <c r="AP84" s="65"/>
    </row>
    <row r="85" spans="1:42" ht="20" x14ac:dyDescent="0.25">
      <c r="A85" s="5" t="s">
        <v>71</v>
      </c>
      <c r="B85" s="1" t="s">
        <v>92</v>
      </c>
      <c r="C85" s="1" t="s">
        <v>92</v>
      </c>
      <c r="D85" s="1" t="s">
        <v>92</v>
      </c>
      <c r="E85" s="1" t="s">
        <v>92</v>
      </c>
      <c r="F85" s="1" t="s">
        <v>92</v>
      </c>
      <c r="G85" s="1" t="s">
        <v>92</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O85" s="23" t="s">
        <v>128</v>
      </c>
      <c r="AP85" s="24">
        <f>AH17</f>
        <v>1698000</v>
      </c>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O86" s="23" t="s">
        <v>129</v>
      </c>
      <c r="AP86" s="24">
        <f>AH56</f>
        <v>54274000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O87" s="23" t="s">
        <v>130</v>
      </c>
      <c r="AP87" s="24">
        <f>AH61</f>
        <v>602097000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O88" s="33" t="s">
        <v>131</v>
      </c>
      <c r="AP88" s="34">
        <f>AP85/(AP86+AP87)</f>
        <v>2.5869515868312282E-3</v>
      </c>
    </row>
    <row r="89" spans="1:42" ht="20" customHeight="1" x14ac:dyDescent="0.25">
      <c r="A89" s="14" t="s">
        <v>105</v>
      </c>
      <c r="B89" s="15">
        <f t="shared" ref="B89:AH89" si="7">(-1*B88)/B3</f>
        <v>4.9773755656108594E-2</v>
      </c>
      <c r="C89" s="15">
        <f t="shared" si="7"/>
        <v>7.9012345679012344E-2</v>
      </c>
      <c r="D89" s="15">
        <f t="shared" si="7"/>
        <v>6.6666666666666666E-2</v>
      </c>
      <c r="E89" s="15">
        <f t="shared" si="7"/>
        <v>8.8888888888888892E-2</v>
      </c>
      <c r="F89" s="15">
        <f t="shared" si="7"/>
        <v>6.6326530612244902E-2</v>
      </c>
      <c r="G89" s="15">
        <f t="shared" si="7"/>
        <v>7.8719397363465157E-2</v>
      </c>
      <c r="H89" s="15">
        <f t="shared" si="7"/>
        <v>0.11117397454031118</v>
      </c>
      <c r="I89" s="15">
        <f t="shared" si="7"/>
        <v>0.10919655379683431</v>
      </c>
      <c r="J89" s="15">
        <f t="shared" si="7"/>
        <v>0.12313692714862794</v>
      </c>
      <c r="K89" s="15">
        <f t="shared" si="7"/>
        <v>0.13931274035479468</v>
      </c>
      <c r="L89" s="15">
        <f t="shared" si="7"/>
        <v>8.7397196655175313E-2</v>
      </c>
      <c r="M89" s="15">
        <f t="shared" si="7"/>
        <v>0.12124641728522084</v>
      </c>
      <c r="N89" s="15">
        <f t="shared" si="7"/>
        <v>5.3781766596729966E-2</v>
      </c>
      <c r="O89" s="15">
        <f t="shared" si="7"/>
        <v>4.2607242415565898E-2</v>
      </c>
      <c r="P89" s="15">
        <f t="shared" si="7"/>
        <v>4.1209445254298128E-2</v>
      </c>
      <c r="Q89" s="15">
        <f t="shared" si="7"/>
        <v>4.3917369252498409E-2</v>
      </c>
      <c r="R89" s="15">
        <f t="shared" si="7"/>
        <v>4.6923034794990687E-2</v>
      </c>
      <c r="S89" s="15">
        <f t="shared" si="7"/>
        <v>3.9002234283928086E-2</v>
      </c>
      <c r="T89" s="15">
        <f t="shared" si="7"/>
        <v>3.1222535455674889E-2</v>
      </c>
      <c r="U89" s="15">
        <f t="shared" si="7"/>
        <v>2.8821840453808513E-2</v>
      </c>
      <c r="V89" s="15">
        <f t="shared" si="7"/>
        <v>2.8408856337652763E-2</v>
      </c>
      <c r="W89" s="15">
        <f t="shared" si="7"/>
        <v>3.7342663626897657E-2</v>
      </c>
      <c r="X89" s="15">
        <f t="shared" si="7"/>
        <v>3.0860179599628022E-2</v>
      </c>
      <c r="Y89" s="15">
        <f t="shared" si="7"/>
        <v>3.3359766060174885E-2</v>
      </c>
      <c r="Z89" s="15">
        <f t="shared" si="7"/>
        <v>5.0195093784994399E-2</v>
      </c>
      <c r="AA89" s="15">
        <f t="shared" si="7"/>
        <v>3.8785377468935796E-2</v>
      </c>
      <c r="AB89" s="15">
        <f t="shared" si="7"/>
        <v>2.7619449402525951E-2</v>
      </c>
      <c r="AC89" s="15">
        <f t="shared" si="7"/>
        <v>2.5809576935498076E-2</v>
      </c>
      <c r="AD89" s="15">
        <f t="shared" si="7"/>
        <v>3.1712323192968538E-2</v>
      </c>
      <c r="AE89" s="15">
        <f t="shared" si="7"/>
        <v>5.895478731476296E-2</v>
      </c>
      <c r="AF89" s="15">
        <f t="shared" si="7"/>
        <v>4.1982415994872575E-2</v>
      </c>
      <c r="AG89" s="15">
        <f t="shared" si="7"/>
        <v>2.2302496579010525E-2</v>
      </c>
      <c r="AH89" s="15">
        <f t="shared" si="7"/>
        <v>2.6879439351283528E-2</v>
      </c>
      <c r="AO89" s="23" t="s">
        <v>106</v>
      </c>
      <c r="AP89" s="24">
        <f>AH27</f>
        <v>137078000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v>-14474000</v>
      </c>
      <c r="M90" s="1" t="s">
        <v>92</v>
      </c>
      <c r="N90" s="1">
        <v>168311000</v>
      </c>
      <c r="O90" s="1" t="s">
        <v>92</v>
      </c>
      <c r="P90" s="1">
        <v>-60138000</v>
      </c>
      <c r="Q90" s="1">
        <v>-174498000</v>
      </c>
      <c r="R90" s="1">
        <v>-41142000</v>
      </c>
      <c r="S90" s="1">
        <v>-57473000</v>
      </c>
      <c r="T90" s="1">
        <v>-184650000</v>
      </c>
      <c r="U90" s="1">
        <v>-53358000</v>
      </c>
      <c r="V90" s="1">
        <v>-500829000</v>
      </c>
      <c r="W90" s="1">
        <v>-41015000</v>
      </c>
      <c r="X90" s="1">
        <v>-970089000</v>
      </c>
      <c r="Y90" s="1" t="s">
        <v>92</v>
      </c>
      <c r="Z90" s="1">
        <v>-394623000</v>
      </c>
      <c r="AA90" s="1">
        <v>-340153000</v>
      </c>
      <c r="AB90" s="1">
        <v>-60056000</v>
      </c>
      <c r="AC90" s="1">
        <v>-259202000</v>
      </c>
      <c r="AD90" s="1">
        <v>-652643000</v>
      </c>
      <c r="AE90" s="1">
        <v>-36605000</v>
      </c>
      <c r="AF90" s="1">
        <v>-201045000</v>
      </c>
      <c r="AG90" s="1">
        <v>-296017000</v>
      </c>
      <c r="AH90" s="1">
        <v>-422374000</v>
      </c>
      <c r="AO90" s="23" t="s">
        <v>19</v>
      </c>
      <c r="AP90" s="24">
        <f>AH25</f>
        <v>1115514000</v>
      </c>
    </row>
    <row r="91" spans="1:42" ht="20" x14ac:dyDescent="0.25">
      <c r="A91" s="5" t="s">
        <v>76</v>
      </c>
      <c r="B91" s="1">
        <v>-2000000</v>
      </c>
      <c r="C91" s="1">
        <v>-4700000</v>
      </c>
      <c r="D91" s="1">
        <v>-21200000</v>
      </c>
      <c r="E91" s="1">
        <v>-24700000</v>
      </c>
      <c r="F91" s="1" t="s">
        <v>92</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92</v>
      </c>
      <c r="Z91" s="1" t="s">
        <v>92</v>
      </c>
      <c r="AA91" s="1">
        <v>-238902000</v>
      </c>
      <c r="AB91" s="1">
        <v>-169714000</v>
      </c>
      <c r="AC91" s="1">
        <v>-155098000</v>
      </c>
      <c r="AD91" s="1">
        <v>-3561000</v>
      </c>
      <c r="AE91" s="1">
        <v>-3245000</v>
      </c>
      <c r="AF91" s="1">
        <v>-2762000</v>
      </c>
      <c r="AG91" s="1">
        <v>-169323000</v>
      </c>
      <c r="AH91" s="1">
        <v>-104245000</v>
      </c>
      <c r="AO91" s="33" t="s">
        <v>132</v>
      </c>
      <c r="AP91" s="34">
        <f>AP89/AP90</f>
        <v>0.12288326278289649</v>
      </c>
    </row>
    <row r="92" spans="1:42" ht="20" x14ac:dyDescent="0.25">
      <c r="A92" s="5" t="s">
        <v>77</v>
      </c>
      <c r="B92" s="1" t="s">
        <v>92</v>
      </c>
      <c r="C92" s="1">
        <v>2000000</v>
      </c>
      <c r="D92" s="1" t="s">
        <v>92</v>
      </c>
      <c r="E92" s="1" t="s">
        <v>92</v>
      </c>
      <c r="F92" s="1">
        <v>300000</v>
      </c>
      <c r="G92" s="1" t="s">
        <v>92</v>
      </c>
      <c r="H92" s="1" t="s">
        <v>92</v>
      </c>
      <c r="I92" s="1" t="s">
        <v>92</v>
      </c>
      <c r="J92" s="1" t="s">
        <v>92</v>
      </c>
      <c r="K92" s="1" t="s">
        <v>92</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O92" s="35" t="s">
        <v>133</v>
      </c>
      <c r="AP92" s="36">
        <f>AP88*(1-AP91)</f>
        <v>2.2690585351800153E-3</v>
      </c>
    </row>
    <row r="93" spans="1:42" ht="19" x14ac:dyDescent="0.25">
      <c r="A93" s="5" t="s">
        <v>78</v>
      </c>
      <c r="B93" s="1">
        <v>-100000</v>
      </c>
      <c r="C93" s="1" t="s">
        <v>92</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92</v>
      </c>
      <c r="S93" s="1">
        <v>26298000</v>
      </c>
      <c r="T93" s="1" t="s">
        <v>92</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O93" s="64" t="s">
        <v>134</v>
      </c>
      <c r="AP93" s="65"/>
    </row>
    <row r="94" spans="1:42" ht="20"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O95" s="38" t="s">
        <v>136</v>
      </c>
      <c r="AP95" s="58" cm="1">
        <f t="array" ref="AP95">_FV(A1,"Beta")</f>
        <v>1.1774</v>
      </c>
    </row>
    <row r="96" spans="1:42" ht="20" x14ac:dyDescent="0.25">
      <c r="A96" s="5" t="s">
        <v>81</v>
      </c>
      <c r="B96" s="1" t="s">
        <v>92</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O96" s="23" t="s">
        <v>137</v>
      </c>
      <c r="AP96" s="37">
        <v>8.4000000000000005E-2</v>
      </c>
    </row>
    <row r="97" spans="1:42" ht="20" x14ac:dyDescent="0.25">
      <c r="A97" s="5" t="s">
        <v>82</v>
      </c>
      <c r="B97" s="1" t="s">
        <v>92</v>
      </c>
      <c r="C97" s="1" t="s">
        <v>92</v>
      </c>
      <c r="D97" s="1" t="s">
        <v>92</v>
      </c>
      <c r="E97" s="1" t="s">
        <v>92</v>
      </c>
      <c r="F97" s="1" t="s">
        <v>92</v>
      </c>
      <c r="G97" s="1" t="s">
        <v>92</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92</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O97" s="35" t="s">
        <v>138</v>
      </c>
      <c r="AP97" s="36">
        <f>(AP94)+((AP95)*(AP96-AP94))</f>
        <v>9.1637070000000015E-2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4" t="s">
        <v>139</v>
      </c>
      <c r="AP98" s="65"/>
    </row>
    <row r="99" spans="1:42" ht="20" x14ac:dyDescent="0.25">
      <c r="A99" s="5" t="s">
        <v>84</v>
      </c>
      <c r="B99" s="1">
        <v>-800000</v>
      </c>
      <c r="C99" s="1">
        <v>-1500000</v>
      </c>
      <c r="D99" s="1">
        <v>-10900000</v>
      </c>
      <c r="E99" s="1">
        <v>-1400000</v>
      </c>
      <c r="F99" s="1">
        <v>-400000</v>
      </c>
      <c r="G99" s="1" t="s">
        <v>92</v>
      </c>
      <c r="H99" s="1">
        <v>-5500000</v>
      </c>
      <c r="I99" s="1">
        <v>-10200000</v>
      </c>
      <c r="J99" s="1">
        <v>-7800000</v>
      </c>
      <c r="K99" s="1">
        <v>-12600000</v>
      </c>
      <c r="L99" s="1">
        <v>-13572000</v>
      </c>
      <c r="M99" s="1">
        <v>-6468000</v>
      </c>
      <c r="N99" s="1" t="s">
        <v>92</v>
      </c>
      <c r="O99" s="1" t="s">
        <v>92</v>
      </c>
      <c r="P99" s="1" t="s">
        <v>92</v>
      </c>
      <c r="Q99" s="1" t="s">
        <v>92</v>
      </c>
      <c r="R99" s="1" t="s">
        <v>92</v>
      </c>
      <c r="S99" s="1" t="s">
        <v>92</v>
      </c>
      <c r="T99" s="1">
        <v>-2970000</v>
      </c>
      <c r="U99" s="1">
        <v>1279000</v>
      </c>
      <c r="V99" s="1" t="s">
        <v>92</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O99" s="23" t="s">
        <v>140</v>
      </c>
      <c r="AP99" s="24">
        <f>AP86+AP87</f>
        <v>656371000</v>
      </c>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O100" s="33" t="s">
        <v>141</v>
      </c>
      <c r="AP100" s="34">
        <f>AP99/AP103</f>
        <v>1.0439862174720056E-2</v>
      </c>
    </row>
    <row r="101" spans="1:42" ht="20" x14ac:dyDescent="0.25">
      <c r="A101" s="5" t="s">
        <v>86</v>
      </c>
      <c r="B101" s="1" t="s">
        <v>92</v>
      </c>
      <c r="C101" s="1" t="s">
        <v>92</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O101" s="38" t="s">
        <v>142</v>
      </c>
      <c r="AP101" s="39" cm="1">
        <f t="array" ref="AP101">_FV(A1,"Market cap",TRUE)</f>
        <v>62215244450</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O102" s="33" t="s">
        <v>143</v>
      </c>
      <c r="AP102" s="34">
        <f>AP101/AP103</f>
        <v>0.98956013782527996</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O103" s="35" t="s">
        <v>144</v>
      </c>
      <c r="AP103" s="40">
        <f>AP99+AP101</f>
        <v>62871615450</v>
      </c>
    </row>
    <row r="104" spans="1:42" ht="20" thickBot="1" x14ac:dyDescent="0.3">
      <c r="A104" s="7" t="s">
        <v>89</v>
      </c>
      <c r="B104" s="11" t="s">
        <v>92</v>
      </c>
      <c r="C104" s="11" t="s">
        <v>92</v>
      </c>
      <c r="D104" s="11" t="s">
        <v>92</v>
      </c>
      <c r="E104" s="11" t="s">
        <v>92</v>
      </c>
      <c r="F104" s="11" t="s">
        <v>92</v>
      </c>
      <c r="G104" s="11" t="s">
        <v>92</v>
      </c>
      <c r="H104" s="11" t="s">
        <v>92</v>
      </c>
      <c r="I104" s="11" t="s">
        <v>92</v>
      </c>
      <c r="J104" s="11" t="s">
        <v>92</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O104" s="64" t="s">
        <v>145</v>
      </c>
      <c r="AP104" s="65"/>
    </row>
    <row r="105" spans="1:42" ht="21" thickTop="1" x14ac:dyDescent="0.25">
      <c r="A105" s="14" t="s">
        <v>107</v>
      </c>
      <c r="B105" s="1"/>
      <c r="C105" s="15">
        <f>(C106/B106)-1</f>
        <v>-0.55102040816326525</v>
      </c>
      <c r="D105" s="15">
        <f>(D106/C106)-1</f>
        <v>4.9090909090909092</v>
      </c>
      <c r="E105" s="15">
        <f>(E106/D106)-1</f>
        <v>1.8846153846153846</v>
      </c>
      <c r="F105" s="15">
        <f>(F106/E106)-1</f>
        <v>0.1253333333333333</v>
      </c>
      <c r="G105" s="15">
        <f>(G106/F106)-1</f>
        <v>0.32227488151658767</v>
      </c>
      <c r="H105" s="15">
        <f t="shared" ref="H105:AH105" si="8">(H106/G106)-1</f>
        <v>-0.12186379928315416</v>
      </c>
      <c r="I105" s="15">
        <f t="shared" si="8"/>
        <v>0.12448979591836729</v>
      </c>
      <c r="J105" s="15">
        <f t="shared" si="8"/>
        <v>1.0889292196007316E-2</v>
      </c>
      <c r="K105" s="15">
        <f t="shared" si="8"/>
        <v>0.99281867145421909</v>
      </c>
      <c r="L105" s="15">
        <f t="shared" si="8"/>
        <v>-0.25572072072072072</v>
      </c>
      <c r="M105" s="15">
        <f t="shared" si="8"/>
        <v>1.5822913514494945</v>
      </c>
      <c r="N105" s="15">
        <f t="shared" si="8"/>
        <v>-2.0771927850901863</v>
      </c>
      <c r="O105" s="15">
        <f t="shared" si="8"/>
        <v>-2.4855529059546395</v>
      </c>
      <c r="P105" s="15">
        <f t="shared" si="8"/>
        <v>-0.35840368380660015</v>
      </c>
      <c r="Q105" s="15">
        <f t="shared" si="8"/>
        <v>3.0109755652142134E-2</v>
      </c>
      <c r="R105" s="15">
        <f t="shared" si="8"/>
        <v>-0.31531687253741791</v>
      </c>
      <c r="S105" s="15">
        <f t="shared" si="8"/>
        <v>1.4998802457228302</v>
      </c>
      <c r="T105" s="15">
        <f t="shared" si="8"/>
        <v>-0.25076840614310614</v>
      </c>
      <c r="U105" s="15">
        <f t="shared" si="8"/>
        <v>-0.31877862067773766</v>
      </c>
      <c r="V105" s="15">
        <f t="shared" si="8"/>
        <v>0.5167370172697201</v>
      </c>
      <c r="W105" s="15">
        <f t="shared" si="8"/>
        <v>0.27135646455557749</v>
      </c>
      <c r="X105" s="15">
        <f t="shared" si="8"/>
        <v>0.12757375962282214</v>
      </c>
      <c r="Y105" s="15">
        <f t="shared" si="8"/>
        <v>-2.1886484279297624E-3</v>
      </c>
      <c r="Z105" s="15">
        <f t="shared" si="8"/>
        <v>3.8357298362863723E-2</v>
      </c>
      <c r="AA105" s="15">
        <f t="shared" si="8"/>
        <v>-8.9016755247275037E-2</v>
      </c>
      <c r="AB105" s="15">
        <f t="shared" si="8"/>
        <v>0.27460674935045359</v>
      </c>
      <c r="AC105" s="15">
        <f t="shared" si="8"/>
        <v>8.8084640076028675E-2</v>
      </c>
      <c r="AD105" s="15">
        <f t="shared" si="8"/>
        <v>-0.4254907657782111</v>
      </c>
      <c r="AE105" s="15">
        <f t="shared" si="8"/>
        <v>0.85576750044988303</v>
      </c>
      <c r="AF105" s="15">
        <f t="shared" si="8"/>
        <v>0.39193479623824445</v>
      </c>
      <c r="AG105" s="15">
        <f t="shared" si="8"/>
        <v>0.67783355013686841</v>
      </c>
      <c r="AH105" s="15">
        <f t="shared" si="8"/>
        <v>0.14527784021842938</v>
      </c>
      <c r="AI105" s="15"/>
      <c r="AJ105" s="15"/>
      <c r="AK105" s="15"/>
      <c r="AL105" s="15"/>
      <c r="AM105" s="15"/>
      <c r="AN105" s="15"/>
      <c r="AO105" s="25" t="s">
        <v>108</v>
      </c>
      <c r="AP105" s="26">
        <f>(AP100*AP92)+(AP102*AP97)</f>
        <v>9.0704080277478491E-2</v>
      </c>
    </row>
    <row r="106" spans="1:42" ht="19" x14ac:dyDescent="0.25">
      <c r="A106" s="5" t="s">
        <v>90</v>
      </c>
      <c r="B106" s="1">
        <v>4900000</v>
      </c>
      <c r="C106" s="1">
        <v>2200000</v>
      </c>
      <c r="D106" s="1">
        <v>13000000</v>
      </c>
      <c r="E106" s="1">
        <v>37500000</v>
      </c>
      <c r="F106" s="1">
        <v>42200000</v>
      </c>
      <c r="G106" s="1">
        <v>55800000</v>
      </c>
      <c r="H106" s="1">
        <v>49000000</v>
      </c>
      <c r="I106" s="1">
        <v>55100000</v>
      </c>
      <c r="J106" s="1">
        <v>55700000</v>
      </c>
      <c r="K106" s="1">
        <v>111000000</v>
      </c>
      <c r="L106" s="1">
        <v>82615000</v>
      </c>
      <c r="M106" s="1">
        <v>213336000</v>
      </c>
      <c r="N106" s="1">
        <v>-229804000</v>
      </c>
      <c r="O106" s="1">
        <v>341386000</v>
      </c>
      <c r="P106" s="1">
        <v>219032000</v>
      </c>
      <c r="Q106" s="1">
        <v>225627000</v>
      </c>
      <c r="R106" s="1">
        <v>154483000</v>
      </c>
      <c r="S106" s="1">
        <v>386189000</v>
      </c>
      <c r="T106" s="1">
        <v>289345000</v>
      </c>
      <c r="U106" s="1">
        <v>197108000</v>
      </c>
      <c r="V106" s="1">
        <v>298961000</v>
      </c>
      <c r="W106" s="1">
        <v>380086000</v>
      </c>
      <c r="X106" s="1">
        <v>428575000</v>
      </c>
      <c r="Y106" s="1">
        <v>427637000</v>
      </c>
      <c r="Z106" s="1">
        <v>444040000</v>
      </c>
      <c r="AA106" s="1">
        <v>404513000</v>
      </c>
      <c r="AB106" s="1">
        <v>515595000</v>
      </c>
      <c r="AC106" s="1">
        <v>561011000</v>
      </c>
      <c r="AD106" s="1">
        <v>322306000</v>
      </c>
      <c r="AE106" s="1">
        <v>598125000</v>
      </c>
      <c r="AF106" s="1">
        <v>832551000</v>
      </c>
      <c r="AG106" s="1">
        <v>1396882000</v>
      </c>
      <c r="AH106" s="1">
        <v>1599818000</v>
      </c>
      <c r="AI106" s="41">
        <f>AH106*(1+$AP$106)</f>
        <v>1802628543.3431706</v>
      </c>
      <c r="AJ106" s="41">
        <f t="shared" ref="AJ106:AM106" si="9">AI106*(1+$AP$106)</f>
        <v>2031149584.0623879</v>
      </c>
      <c r="AK106" s="41">
        <f t="shared" si="9"/>
        <v>2288640467.8722639</v>
      </c>
      <c r="AL106" s="41">
        <f t="shared" si="9"/>
        <v>2578773731.0349126</v>
      </c>
      <c r="AM106" s="41">
        <f t="shared" si="9"/>
        <v>2905687480.9428935</v>
      </c>
      <c r="AN106" s="42" t="s">
        <v>146</v>
      </c>
      <c r="AO106" s="43" t="s">
        <v>147</v>
      </c>
      <c r="AP106" s="44">
        <f>(SUM(AI4:AM4)/5)</f>
        <v>0.12677100979184547</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2"/>
      <c r="AJ107" s="42"/>
      <c r="AK107" s="42"/>
      <c r="AL107" s="42"/>
      <c r="AM107" s="45">
        <f>AM106*(1+AP107)/(AP108-AP107)</f>
        <v>45329447659.696617</v>
      </c>
      <c r="AN107" s="46" t="s">
        <v>148</v>
      </c>
      <c r="AO107" s="47" t="s">
        <v>149</v>
      </c>
      <c r="AP107" s="48">
        <v>2.5000000000000001E-2</v>
      </c>
    </row>
    <row r="108" spans="1:42" ht="19" x14ac:dyDescent="0.25">
      <c r="AI108" s="45">
        <f t="shared" ref="AI108:AK108" si="10">AI107+AI106</f>
        <v>1802628543.3431706</v>
      </c>
      <c r="AJ108" s="45">
        <f t="shared" si="10"/>
        <v>2031149584.0623879</v>
      </c>
      <c r="AK108" s="45">
        <f t="shared" si="10"/>
        <v>2288640467.8722639</v>
      </c>
      <c r="AL108" s="45">
        <f>AL107+AL106</f>
        <v>2578773731.0349126</v>
      </c>
      <c r="AM108" s="45">
        <f>AM107+AM106</f>
        <v>48235135140.639511</v>
      </c>
      <c r="AN108" s="46" t="s">
        <v>144</v>
      </c>
      <c r="AO108" s="49" t="s">
        <v>150</v>
      </c>
      <c r="AP108" s="50">
        <f>AP105</f>
        <v>9.0704080277478491E-2</v>
      </c>
    </row>
    <row r="109" spans="1:42" ht="19" x14ac:dyDescent="0.25">
      <c r="AI109" s="60" t="s">
        <v>151</v>
      </c>
      <c r="AJ109" s="61"/>
    </row>
    <row r="110" spans="1:42" ht="20" x14ac:dyDescent="0.25">
      <c r="AI110" s="51" t="s">
        <v>152</v>
      </c>
      <c r="AJ110" s="39">
        <f>NPV(AP108,AI108,AJ108,AK108,AL108,AM108)</f>
        <v>38194551230.330673</v>
      </c>
    </row>
    <row r="111" spans="1:42" ht="20" x14ac:dyDescent="0.25">
      <c r="AI111" s="51" t="s">
        <v>153</v>
      </c>
      <c r="AJ111" s="39">
        <f>AH40</f>
        <v>1565521000</v>
      </c>
    </row>
    <row r="112" spans="1:42" ht="20" x14ac:dyDescent="0.25">
      <c r="AI112" s="51" t="s">
        <v>140</v>
      </c>
      <c r="AJ112" s="39">
        <f>AP99</f>
        <v>656371000</v>
      </c>
    </row>
    <row r="113" spans="35:36" ht="20" x14ac:dyDescent="0.25">
      <c r="AI113" s="51" t="s">
        <v>154</v>
      </c>
      <c r="AJ113" s="39">
        <f>AJ110+AJ111-AJ112</f>
        <v>39103701230.330673</v>
      </c>
    </row>
    <row r="114" spans="35:36" ht="20" x14ac:dyDescent="0.25">
      <c r="AI114" s="51" t="s">
        <v>155</v>
      </c>
      <c r="AJ114" s="52">
        <f>AH34*(1+(5*AN16))</f>
        <v>158132045.63753816</v>
      </c>
    </row>
    <row r="115" spans="35:36" ht="20" x14ac:dyDescent="0.25">
      <c r="AI115" s="53" t="s">
        <v>156</v>
      </c>
      <c r="AJ115" s="54">
        <f>AJ113/AJ114</f>
        <v>247.28511588322894</v>
      </c>
    </row>
    <row r="116" spans="35:36" ht="20" x14ac:dyDescent="0.25">
      <c r="AI116" s="51" t="s">
        <v>157</v>
      </c>
      <c r="AJ116" s="59" cm="1">
        <f t="array" ref="AJ116">_FV(A1,"Price")</f>
        <v>408.5</v>
      </c>
    </row>
    <row r="117" spans="35:36" ht="20" x14ac:dyDescent="0.25">
      <c r="AI117" s="55" t="s">
        <v>158</v>
      </c>
      <c r="AJ117" s="56">
        <f>AJ115/AJ116-1</f>
        <v>-0.39465087911082264</v>
      </c>
    </row>
    <row r="118" spans="35:36" ht="20" x14ac:dyDescent="0.25">
      <c r="AI118" s="55" t="s">
        <v>159</v>
      </c>
      <c r="AJ118" s="57" t="str">
        <f>IF(AJ115&gt;AJ116,"BUY","SELL")</f>
        <v>SELL</v>
      </c>
    </row>
  </sheetData>
  <mergeCells count="6">
    <mergeCell ref="AI109:AJ109"/>
    <mergeCell ref="AO83:AP83"/>
    <mergeCell ref="AO84:AP84"/>
    <mergeCell ref="AO93:AP93"/>
    <mergeCell ref="AO98:AP98"/>
    <mergeCell ref="AO104:AP104"/>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2023-03-12T17:33:24Z</dcterms:created>
  <dcterms:modified xsi:type="dcterms:W3CDTF">2023-05-19T22:57:03Z</dcterms:modified>
</cp:coreProperties>
</file>