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5A7F33C-1AD2-C142-83AE-8147FCD0642A}"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9" i="1" l="1"/>
  <c r="G109" i="1"/>
  <c r="H109" i="1"/>
  <c r="I109" i="1"/>
  <c r="G106" i="1"/>
  <c r="H106" i="1" s="1"/>
  <c r="I106" i="1" s="1"/>
  <c r="J106" i="1" s="1"/>
  <c r="F106"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N20" i="1" l="1"/>
  <c r="M23" i="1"/>
  <c r="N23" i="1"/>
  <c r="G113" i="1"/>
  <c r="M104" i="1"/>
  <c r="M103" i="1" s="1"/>
  <c r="M89" i="1"/>
  <c r="M93" i="1" s="1"/>
  <c r="M101" i="1" l="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M95" i="1" l="1"/>
  <c r="M98" i="1" s="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<sst xmlns="http://schemas.openxmlformats.org/spreadsheetml/2006/main" count="302" uniqueCount="180">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</sst>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4"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164" fontId="9" fillId="6" borderId="0" xfId="0" applyNumberFormat="1" applyFont="1" applyFill="1"/>
    <xf numFmtId="0" fontId="0" fillId="6" borderId="0" xfId="0" applyFill="1"/>
    <xf numFmtId="0" fontId="0" fillId="6" borderId="0" xfId="0" applyFill="1" applyAlignment="1">
      <alignment horizontal="lef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Dutch 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5483742165622721"/>
          <c:w val="0.85569395617776167"/>
          <c:h val="0.691890110185795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3253518301942325"/>
          <c:y val="0.89818504794321774"/>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28576</xdr:rowOff>
    </xdr:from>
    <xdr:to>
      <xdr:col>13</xdr:col>
      <xdr:colOff>0</xdr:colOff>
      <xdr:row>127</xdr:row>
      <xdr:rowOff>15875</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2.327</v>
    <v>0.2</v>
    <v>7.0799999999999995E-3</v>
    <v>0.14000000000000001</v>
    <v>4.921E-3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28.82</v>
    <v>Hotels &amp; Entertainment Services</v>
    <v>Stock</v>
    <v>45107.970481272656</v>
    <v>0</v>
    <v>28.27</v>
    <v>4661048850</v>
    <v>Dutch Bros Inc</v>
    <v>Dutch Bros Inc</v>
    <v>28.37</v>
    <v>28.25</v>
    <v>28.45</v>
    <v>28.59</v>
    <v>163833000</v>
    <v>BROS</v>
    <v>Dutch Bros Inc (XNYS:BROS)</v>
    <v>365446</v>
    <v>728533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89" activePane="bottomRight" state="frozen"/>
      <selection pane="topRight"/>
      <selection pane="bottomLeft"/>
      <selection pane="bottomRight" activeCell="I96" sqref="I96"/>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39">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36">
        <f>M102/E4</f>
        <v>6.307135540424242</v>
      </c>
      <c r="M17" s="36">
        <f>M102/E29</f>
        <v>-980.65408163265306</v>
      </c>
      <c r="N17" s="37">
        <f>M102/E108</f>
        <v>-36.415297624163067</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177</v>
      </c>
    </row>
    <row r="20" spans="1:14" ht="19" x14ac:dyDescent="0.25">
      <c r="A20" s="6" t="s">
        <v>14</v>
      </c>
      <c r="B20" s="10">
        <v>40491000</v>
      </c>
      <c r="C20" s="10">
        <v>25841000</v>
      </c>
      <c r="D20" s="10">
        <v>-128698000</v>
      </c>
      <c r="E20" s="10">
        <v>60592000</v>
      </c>
      <c r="F20" s="35">
        <v>127700000</v>
      </c>
      <c r="G20" s="35">
        <v>182800000</v>
      </c>
      <c r="H20" s="35">
        <v>226000000</v>
      </c>
      <c r="I20" s="35">
        <v>284500000</v>
      </c>
      <c r="J20" s="35">
        <v>348900000</v>
      </c>
      <c r="K20" s="26">
        <f>E41-E57-E62</f>
        <v>-605239000</v>
      </c>
      <c r="L20" s="36">
        <f>M102/F4</f>
        <v>4.7839975880119061</v>
      </c>
      <c r="M20" s="38">
        <f>G117/F32</f>
        <v>72.948717948717942</v>
      </c>
      <c r="N20" s="37">
        <f>M102/F107</f>
        <v>-44.306548003802284</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20" x14ac:dyDescent="0.25">
      <c r="A22" s="5" t="s">
        <v>15</v>
      </c>
      <c r="B22" s="2">
        <v>0.1699</v>
      </c>
      <c r="C22" s="2">
        <v>7.8899999999999998E-2</v>
      </c>
      <c r="D22" s="2">
        <v>-0.25850000000000001</v>
      </c>
      <c r="E22" s="2">
        <v>8.2000000000000003E-2</v>
      </c>
      <c r="F22" s="42">
        <f>F20/F4</f>
        <v>0.13106845940675357</v>
      </c>
      <c r="G22" s="42">
        <f t="shared" ref="G22:J22" si="4">G20/G4</f>
        <v>0.14718196457326893</v>
      </c>
      <c r="H22" s="42">
        <f t="shared" si="4"/>
        <v>0.14780902550686723</v>
      </c>
      <c r="I22" s="42">
        <f t="shared" si="4"/>
        <v>0.1565767749036874</v>
      </c>
      <c r="J22" s="42">
        <f t="shared" si="4"/>
        <v>0.16311360448807855</v>
      </c>
      <c r="M22" s="19" t="s">
        <v>178</v>
      </c>
      <c r="N22" s="20" t="s">
        <v>179</v>
      </c>
    </row>
    <row r="23" spans="1:14" ht="19" x14ac:dyDescent="0.25">
      <c r="A23" s="6" t="s">
        <v>16</v>
      </c>
      <c r="B23" s="10">
        <v>30297000</v>
      </c>
      <c r="C23" s="10">
        <v>10667000</v>
      </c>
      <c r="D23" s="10">
        <v>-113272000</v>
      </c>
      <c r="E23" s="10">
        <v>-2612000</v>
      </c>
      <c r="M23" s="45">
        <f>(-1*E99)/M102</f>
        <v>0</v>
      </c>
      <c r="N23" s="46">
        <f>E108/M102</f>
        <v>-2.7460986597469365E-2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40">
        <v>22780000</v>
      </c>
      <c r="G29" s="40">
        <v>78490000</v>
      </c>
      <c r="H29" s="40">
        <v>70495000</v>
      </c>
      <c r="I29" s="40">
        <v>107000000</v>
      </c>
      <c r="J29" s="40">
        <v>149100000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42">
        <f>F29/F4</f>
        <v>2.3380888843272093E-2</v>
      </c>
      <c r="G31" s="42">
        <f t="shared" ref="G31:J31" si="6">G29/G4</f>
        <v>6.3196457326892108E-2</v>
      </c>
      <c r="H31" s="42">
        <f t="shared" si="6"/>
        <v>4.6105297580117721E-2</v>
      </c>
      <c r="I31" s="42">
        <f t="shared" si="6"/>
        <v>5.8888277380297192E-2</v>
      </c>
      <c r="J31" s="42">
        <f t="shared" si="6"/>
        <v>6.9705469845722304E-2</v>
      </c>
    </row>
    <row r="32" spans="1:14" ht="19" x14ac:dyDescent="0.25">
      <c r="A32" s="5" t="s">
        <v>24</v>
      </c>
      <c r="B32" s="12">
        <v>0.61</v>
      </c>
      <c r="C32" s="12">
        <v>0.12</v>
      </c>
      <c r="D32" s="12">
        <v>-2.59</v>
      </c>
      <c r="E32" s="12">
        <v>-0.09</v>
      </c>
      <c r="F32" s="41">
        <v>0.39</v>
      </c>
      <c r="G32" s="41">
        <v>1.35</v>
      </c>
      <c r="H32" s="41">
        <v>1.21</v>
      </c>
      <c r="I32" s="41">
        <v>1.84</v>
      </c>
      <c r="J32" s="41">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69" t="s">
        <v>134</v>
      </c>
      <c r="M84" s="70"/>
    </row>
    <row r="85" spans="1:13" ht="19" x14ac:dyDescent="0.25">
      <c r="A85" s="5" t="s">
        <v>47</v>
      </c>
      <c r="B85" s="1">
        <v>3531000</v>
      </c>
      <c r="C85" s="1">
        <v>-518000</v>
      </c>
      <c r="D85" s="1" t="s">
        <v>91</v>
      </c>
      <c r="E85" s="1">
        <v>1606000</v>
      </c>
      <c r="L85" s="71" t="s">
        <v>135</v>
      </c>
      <c r="M85" s="71"/>
    </row>
    <row r="86" spans="1:13" ht="20" x14ac:dyDescent="0.25">
      <c r="A86" s="5" t="s">
        <v>71</v>
      </c>
      <c r="B86" s="1">
        <v>5506000</v>
      </c>
      <c r="C86" s="1">
        <v>4762000</v>
      </c>
      <c r="D86" s="1">
        <v>12118000</v>
      </c>
      <c r="E86" s="1" t="s">
        <v>91</v>
      </c>
      <c r="L86" s="47" t="s">
        <v>136</v>
      </c>
      <c r="M86" s="48">
        <f>E18</f>
        <v>18018000</v>
      </c>
    </row>
    <row r="87" spans="1:13" ht="20" x14ac:dyDescent="0.25">
      <c r="A87" s="5" t="s">
        <v>72</v>
      </c>
      <c r="B87" s="1">
        <v>330000</v>
      </c>
      <c r="C87" s="1">
        <v>573000</v>
      </c>
      <c r="D87" s="1">
        <v>183614000</v>
      </c>
      <c r="E87" s="1" t="s">
        <v>91</v>
      </c>
      <c r="L87" s="47" t="s">
        <v>137</v>
      </c>
      <c r="M87" s="48">
        <f>E57</f>
        <v>130762000</v>
      </c>
    </row>
    <row r="88" spans="1:13" ht="20" x14ac:dyDescent="0.25">
      <c r="A88" s="6" t="s">
        <v>73</v>
      </c>
      <c r="B88" s="10">
        <v>56702000</v>
      </c>
      <c r="C88" s="10">
        <v>53549000</v>
      </c>
      <c r="D88" s="10">
        <v>80375000</v>
      </c>
      <c r="E88" s="10">
        <v>59883000</v>
      </c>
      <c r="L88" s="47" t="s">
        <v>138</v>
      </c>
      <c r="M88" s="48">
        <f>E62</f>
        <v>494655000</v>
      </c>
    </row>
    <row r="89" spans="1:13" ht="20" x14ac:dyDescent="0.25">
      <c r="A89" s="5" t="s">
        <v>74</v>
      </c>
      <c r="B89" s="1">
        <v>-39465000</v>
      </c>
      <c r="C89" s="1">
        <v>-40575000</v>
      </c>
      <c r="D89" s="1">
        <v>-121089000</v>
      </c>
      <c r="E89" s="1">
        <v>-187880000</v>
      </c>
      <c r="L89" s="49" t="s">
        <v>139</v>
      </c>
      <c r="M89" s="50">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47" t="s">
        <v>140</v>
      </c>
      <c r="M90" s="48">
        <f>E28</f>
        <v>2599000</v>
      </c>
    </row>
    <row r="91" spans="1:13" ht="20" x14ac:dyDescent="0.25">
      <c r="A91" s="5" t="s">
        <v>75</v>
      </c>
      <c r="B91" s="1">
        <v>-530000</v>
      </c>
      <c r="C91" s="1">
        <v>-5094000</v>
      </c>
      <c r="D91" s="1" t="s">
        <v>91</v>
      </c>
      <c r="E91" s="1" t="s">
        <v>91</v>
      </c>
      <c r="L91" s="47" t="s">
        <v>19</v>
      </c>
      <c r="M91" s="48">
        <f>E26</f>
        <v>-16654000</v>
      </c>
    </row>
    <row r="92" spans="1:13" ht="20" x14ac:dyDescent="0.25">
      <c r="A92" s="5" t="s">
        <v>76</v>
      </c>
      <c r="B92" s="1" t="s">
        <v>91</v>
      </c>
      <c r="C92" s="1" t="s">
        <v>91</v>
      </c>
      <c r="D92" s="1" t="s">
        <v>91</v>
      </c>
      <c r="E92" s="1" t="s">
        <v>91</v>
      </c>
      <c r="L92" s="49" t="s">
        <v>141</v>
      </c>
      <c r="M92" s="50">
        <f>M90/M91</f>
        <v>-0.15605860453944997</v>
      </c>
    </row>
    <row r="93" spans="1:13" ht="20" x14ac:dyDescent="0.25">
      <c r="A93" s="5" t="s">
        <v>77</v>
      </c>
      <c r="B93" s="1" t="s">
        <v>91</v>
      </c>
      <c r="C93" s="1" t="s">
        <v>91</v>
      </c>
      <c r="D93" s="1" t="s">
        <v>91</v>
      </c>
      <c r="E93" s="1" t="s">
        <v>91</v>
      </c>
      <c r="L93" s="49" t="s">
        <v>142</v>
      </c>
      <c r="M93" s="50">
        <f>M89*(1-M92)</f>
        <v>3.330556082836221E-2</v>
      </c>
    </row>
    <row r="94" spans="1:13" ht="19" x14ac:dyDescent="0.25">
      <c r="A94" s="5" t="s">
        <v>78</v>
      </c>
      <c r="B94" s="1">
        <v>47000</v>
      </c>
      <c r="C94" s="1">
        <v>99000</v>
      </c>
      <c r="D94" s="1">
        <v>-121089000</v>
      </c>
      <c r="E94" s="1">
        <v>-4692000</v>
      </c>
      <c r="L94" s="71" t="s">
        <v>143</v>
      </c>
      <c r="M94" s="71"/>
    </row>
    <row r="95" spans="1:13" ht="20" x14ac:dyDescent="0.25">
      <c r="A95" s="6" t="s">
        <v>79</v>
      </c>
      <c r="B95" s="10">
        <v>-39948000</v>
      </c>
      <c r="C95" s="10">
        <v>-45570000</v>
      </c>
      <c r="D95" s="10">
        <v>-121089000</v>
      </c>
      <c r="E95" s="10">
        <v>-192572000</v>
      </c>
      <c r="L95" s="47" t="s">
        <v>144</v>
      </c>
      <c r="M95" s="51">
        <f>[1]Treasuries!$C$8</f>
        <v>3.8539999999999998E-2</v>
      </c>
    </row>
    <row r="96" spans="1:13" ht="20" x14ac:dyDescent="0.25">
      <c r="A96" s="5" t="s">
        <v>80</v>
      </c>
      <c r="B96" s="1">
        <v>-6055000</v>
      </c>
      <c r="C96" s="1">
        <v>-29423000</v>
      </c>
      <c r="D96" s="1" t="s">
        <v>91</v>
      </c>
      <c r="E96" s="1">
        <v>-10569000</v>
      </c>
      <c r="L96" s="47" t="s">
        <v>145</v>
      </c>
      <c r="M96" s="52" cm="1">
        <f t="array" ref="M96">_FV(A1,"Beta")</f>
        <v>2.327</v>
      </c>
    </row>
    <row r="97" spans="1:13" ht="20" x14ac:dyDescent="0.25">
      <c r="A97" s="5" t="s">
        <v>81</v>
      </c>
      <c r="B97" s="1" t="s">
        <v>91</v>
      </c>
      <c r="C97" s="1" t="s">
        <v>91</v>
      </c>
      <c r="D97" s="1" t="s">
        <v>91</v>
      </c>
      <c r="E97" s="1" t="s">
        <v>91</v>
      </c>
      <c r="L97" s="47" t="s">
        <v>146</v>
      </c>
      <c r="M97" s="51">
        <v>8.4000000000000005E-2</v>
      </c>
    </row>
    <row r="98" spans="1:13" ht="20" x14ac:dyDescent="0.25">
      <c r="A98" s="5" t="s">
        <v>82</v>
      </c>
      <c r="B98" s="1" t="s">
        <v>91</v>
      </c>
      <c r="C98" s="1" t="s">
        <v>91</v>
      </c>
      <c r="D98" s="1" t="s">
        <v>91</v>
      </c>
      <c r="E98" s="1" t="s">
        <v>91</v>
      </c>
      <c r="L98" s="49" t="s">
        <v>147</v>
      </c>
      <c r="M98" s="50">
        <f>(M95)+((M96)*(M97-M95))</f>
        <v>0.14432542000000001</v>
      </c>
    </row>
    <row r="99" spans="1:13" ht="19" x14ac:dyDescent="0.25">
      <c r="A99" s="5" t="s">
        <v>83</v>
      </c>
      <c r="B99" s="1" t="s">
        <v>91</v>
      </c>
      <c r="C99" s="1" t="s">
        <v>91</v>
      </c>
      <c r="D99" s="1" t="s">
        <v>91</v>
      </c>
      <c r="E99" s="1">
        <v>0</v>
      </c>
      <c r="L99" s="71" t="s">
        <v>148</v>
      </c>
      <c r="M99" s="71"/>
    </row>
    <row r="100" spans="1:13" ht="20" x14ac:dyDescent="0.25">
      <c r="A100" s="5" t="s">
        <v>84</v>
      </c>
      <c r="B100" s="1">
        <v>-6625000</v>
      </c>
      <c r="C100" s="1">
        <v>37500000</v>
      </c>
      <c r="D100" s="1">
        <v>27580000</v>
      </c>
      <c r="E100" s="1">
        <v>144930000</v>
      </c>
      <c r="L100" s="47" t="s">
        <v>149</v>
      </c>
      <c r="M100" s="48">
        <f>M87+M88</f>
        <v>625417000</v>
      </c>
    </row>
    <row r="101" spans="1:13" ht="20" x14ac:dyDescent="0.25">
      <c r="A101" s="6" t="s">
        <v>85</v>
      </c>
      <c r="B101" s="10">
        <v>-12680000</v>
      </c>
      <c r="C101" s="10">
        <v>8077000</v>
      </c>
      <c r="D101" s="10">
        <v>27580000</v>
      </c>
      <c r="E101" s="10">
        <v>134361000</v>
      </c>
      <c r="L101" s="49" t="s">
        <v>150</v>
      </c>
      <c r="M101" s="50">
        <f>M100/M104</f>
        <v>0.11830531355839553</v>
      </c>
    </row>
    <row r="102" spans="1:13" ht="20" x14ac:dyDescent="0.25">
      <c r="A102" s="5" t="s">
        <v>86</v>
      </c>
      <c r="B102" s="1" t="s">
        <v>91</v>
      </c>
      <c r="C102" s="1" t="s">
        <v>91</v>
      </c>
      <c r="D102" s="1" t="s">
        <v>91</v>
      </c>
      <c r="E102" s="1" t="s">
        <v>91</v>
      </c>
      <c r="L102" s="47" t="s">
        <v>151</v>
      </c>
      <c r="M102" s="53" cm="1">
        <f t="array" ref="M102">_FV(A1,"Market cap",TRUE)</f>
        <v>4661048850</v>
      </c>
    </row>
    <row r="103" spans="1:13" ht="20" x14ac:dyDescent="0.25">
      <c r="A103" s="6" t="s">
        <v>87</v>
      </c>
      <c r="B103" s="10">
        <v>4074000</v>
      </c>
      <c r="C103" s="10">
        <v>16056000</v>
      </c>
      <c r="D103" s="10">
        <v>-13134000</v>
      </c>
      <c r="E103" s="10">
        <v>1672000</v>
      </c>
      <c r="L103" s="49" t="s">
        <v>152</v>
      </c>
      <c r="M103" s="50">
        <f>M102/M104</f>
        <v>0.88169468644160442</v>
      </c>
    </row>
    <row r="104" spans="1:13" ht="20" x14ac:dyDescent="0.25">
      <c r="A104" s="5" t="s">
        <v>88</v>
      </c>
      <c r="B104" s="1">
        <v>11510000</v>
      </c>
      <c r="C104" s="1">
        <v>15584000</v>
      </c>
      <c r="D104" s="1">
        <v>31640000</v>
      </c>
      <c r="E104" s="1">
        <v>18506000</v>
      </c>
      <c r="L104" s="49" t="s">
        <v>153</v>
      </c>
      <c r="M104" s="54">
        <f>M100+M102</f>
        <v>5286465850</v>
      </c>
    </row>
    <row r="105" spans="1:13" ht="20" thickBot="1" x14ac:dyDescent="0.3">
      <c r="A105" s="7" t="s">
        <v>89</v>
      </c>
      <c r="B105" s="11">
        <v>15584000</v>
      </c>
      <c r="C105" s="11">
        <v>31640000</v>
      </c>
      <c r="D105" s="11">
        <v>18506000</v>
      </c>
      <c r="E105" s="11">
        <v>20178000</v>
      </c>
      <c r="L105" s="71" t="s">
        <v>154</v>
      </c>
      <c r="M105" s="71"/>
    </row>
    <row r="106" spans="1:13" ht="21" thickTop="1" x14ac:dyDescent="0.25">
      <c r="A106" s="14" t="s">
        <v>174</v>
      </c>
      <c r="B106" s="1">
        <f t="shared" ref="B106:C106" si="10">(B23*(1-0.2))+B78+B89+B82</f>
        <v>6000600</v>
      </c>
      <c r="C106" s="1">
        <f t="shared" si="10"/>
        <v>-19877400</v>
      </c>
      <c r="D106" s="1">
        <f>(D23*(1-0.2))+D78+D89+D82</f>
        <v>-178310600</v>
      </c>
      <c r="E106" s="1">
        <f>(E23*(1-0.2))+E78+E89+E82</f>
        <v>-153568600</v>
      </c>
      <c r="F106" s="32">
        <f>E106*(1+$M$107)</f>
        <v>-190111652.16279703</v>
      </c>
      <c r="G106" s="32">
        <f t="shared" ref="G106:J106" si="11">F106*(1+$M$107)</f>
        <v>-235350457.63305995</v>
      </c>
      <c r="H106" s="32">
        <f t="shared" si="11"/>
        <v>-291354250.39943969</v>
      </c>
      <c r="I106" s="32">
        <f t="shared" si="11"/>
        <v>-360684657.59335405</v>
      </c>
      <c r="J106" s="32">
        <f t="shared" si="11"/>
        <v>-446512868.93834597</v>
      </c>
      <c r="K106" s="33" t="s">
        <v>172</v>
      </c>
      <c r="L106" s="55" t="s">
        <v>155</v>
      </c>
      <c r="M106" s="56">
        <f>(M101*M93)+(M103*M98)</f>
        <v>0.13119118074949046</v>
      </c>
    </row>
    <row r="107" spans="1:13" ht="19" x14ac:dyDescent="0.25">
      <c r="A107" s="14" t="s">
        <v>175</v>
      </c>
      <c r="B107" s="1"/>
      <c r="C107" s="15">
        <f>(C108/B108)-1</f>
        <v>-0.24731681847189191</v>
      </c>
      <c r="D107" s="15">
        <f>(D108/C108)-1</f>
        <v>5.1950824726375826</v>
      </c>
      <c r="E107" s="15">
        <f>(E108/D108)-1</f>
        <v>-2.5924976671850697</v>
      </c>
      <c r="F107" s="43">
        <v>-105200000</v>
      </c>
      <c r="G107" s="43">
        <v>-66125000</v>
      </c>
      <c r="H107" s="43">
        <v>5000000</v>
      </c>
      <c r="I107" s="43">
        <v>150000000</v>
      </c>
      <c r="J107" s="43">
        <v>250000000</v>
      </c>
      <c r="K107" s="33" t="s">
        <v>173</v>
      </c>
      <c r="L107" s="57" t="s">
        <v>156</v>
      </c>
      <c r="M107" s="58">
        <f>(SUM(F5:J5)/5)</f>
        <v>0.23795914114471986</v>
      </c>
    </row>
    <row r="108" spans="1:13" ht="19" x14ac:dyDescent="0.25">
      <c r="A108" s="28" t="s">
        <v>176</v>
      </c>
      <c r="B108" s="1">
        <v>17237000</v>
      </c>
      <c r="C108" s="1">
        <v>12974000</v>
      </c>
      <c r="D108" s="1">
        <v>80375000</v>
      </c>
      <c r="E108" s="1">
        <v>-127997000</v>
      </c>
      <c r="F108" s="33"/>
      <c r="G108" s="33"/>
      <c r="H108" s="33"/>
      <c r="I108" s="33"/>
      <c r="J108" s="44">
        <f>J107*(1+M108)/(M109-M108)</f>
        <v>2413100581.3421049</v>
      </c>
      <c r="K108" s="34" t="s">
        <v>157</v>
      </c>
      <c r="L108" s="59" t="s">
        <v>158</v>
      </c>
      <c r="M108" s="60">
        <v>2.5000000000000001E-2</v>
      </c>
    </row>
    <row r="109" spans="1:13" ht="19" x14ac:dyDescent="0.25">
      <c r="F109" s="44">
        <f t="shared" ref="F109:I109" si="12">F108+F107</f>
        <v>-105200000</v>
      </c>
      <c r="G109" s="44">
        <f t="shared" si="12"/>
        <v>-66125000</v>
      </c>
      <c r="H109" s="44">
        <f t="shared" si="12"/>
        <v>5000000</v>
      </c>
      <c r="I109" s="44">
        <f t="shared" si="12"/>
        <v>150000000</v>
      </c>
      <c r="J109" s="44">
        <f>J108+J107</f>
        <v>2663100581.3421049</v>
      </c>
      <c r="K109" s="34" t="s">
        <v>153</v>
      </c>
      <c r="L109" s="61" t="s">
        <v>159</v>
      </c>
      <c r="M109" s="58">
        <f>M106</f>
        <v>0.13119118074949046</v>
      </c>
    </row>
    <row r="110" spans="1:13" ht="19" x14ac:dyDescent="0.25">
      <c r="F110" s="68" t="s">
        <v>160</v>
      </c>
      <c r="G110" s="68"/>
    </row>
    <row r="111" spans="1:13" ht="20" x14ac:dyDescent="0.25">
      <c r="F111" s="62" t="s">
        <v>161</v>
      </c>
      <c r="G111" s="53">
        <f>NPV(M109,F109,G109,H109,I109,J109)</f>
        <v>1388219271.1810832</v>
      </c>
    </row>
    <row r="112" spans="1:13" ht="20" x14ac:dyDescent="0.25">
      <c r="F112" s="62" t="s">
        <v>162</v>
      </c>
      <c r="G112" s="53">
        <f>E41</f>
        <v>20178000</v>
      </c>
    </row>
    <row r="113" spans="6:7" ht="20" x14ac:dyDescent="0.25">
      <c r="F113" s="62" t="s">
        <v>149</v>
      </c>
      <c r="G113" s="53">
        <f>M100</f>
        <v>625417000</v>
      </c>
    </row>
    <row r="114" spans="6:7" ht="20" x14ac:dyDescent="0.25">
      <c r="F114" s="62" t="s">
        <v>163</v>
      </c>
      <c r="G114" s="53">
        <f>G111+G112-G113</f>
        <v>782980271.1810832</v>
      </c>
    </row>
    <row r="115" spans="6:7" ht="20" x14ac:dyDescent="0.25">
      <c r="F115" s="62" t="s">
        <v>168</v>
      </c>
      <c r="G115" s="62">
        <f>E35*(1+(5*K17))</f>
        <v>61343813.832482196</v>
      </c>
    </row>
    <row r="116" spans="6:7" ht="20" x14ac:dyDescent="0.25">
      <c r="F116" s="63" t="s">
        <v>164</v>
      </c>
      <c r="G116" s="64">
        <f>G114/G115</f>
        <v>12.763801633189081</v>
      </c>
    </row>
    <row r="117" spans="6:7" ht="20" x14ac:dyDescent="0.25">
      <c r="F117" s="62" t="s">
        <v>165</v>
      </c>
      <c r="G117" s="65" cm="1">
        <f t="array" ref="G117">_FV(A1,"Price")</f>
        <v>28.45</v>
      </c>
    </row>
    <row r="118" spans="6:7" ht="20" x14ac:dyDescent="0.25">
      <c r="F118" s="63" t="s">
        <v>166</v>
      </c>
      <c r="G118" s="66">
        <f>G116/G117-1</f>
        <v>-0.55136022378948746</v>
      </c>
    </row>
    <row r="119" spans="6:7" ht="20" x14ac:dyDescent="0.25">
      <c r="F119" s="63" t="s">
        <v>167</v>
      </c>
      <c r="G119" s="67"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2023-07-01T07:51:40Z</dcterms:modified>
</cp:coreProperties>
</file>