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AFAD2F74-1EB6-A041-8C19-1E9A1D7B2FD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AO105" i="1"/>
  <c r="AP105" i="1"/>
  <c r="AQ105" i="1" s="1"/>
  <c r="AR105" i="1" s="1"/>
  <c r="AN105" i="1"/>
  <c r="AO30" i="1"/>
  <c r="AP30" i="1"/>
  <c r="AQ30" i="1"/>
  <c r="AR30" i="1"/>
  <c r="AN30" i="1"/>
  <c r="AN29" i="1"/>
  <c r="AO29" i="1"/>
  <c r="AP29" i="1"/>
  <c r="AQ29" i="1"/>
  <c r="AR29" i="1"/>
  <c r="AO21" i="1"/>
  <c r="AP21" i="1"/>
  <c r="AQ21" i="1"/>
  <c r="AR21" i="1"/>
  <c r="AN21" i="1"/>
  <c r="AN20" i="1"/>
  <c r="AO20" i="1"/>
  <c r="AP20" i="1"/>
  <c r="AQ20" i="1"/>
  <c r="AR20" i="1"/>
  <c r="AU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6" i="1" l="1" a="1"/>
  <c r="AO116" i="1" s="1"/>
  <c r="AO111" i="1"/>
  <c r="AU101" i="1" a="1"/>
  <c r="AU101" i="1" s="1"/>
  <c r="AV22"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U4" i="1"/>
  <c r="AT4" i="1"/>
  <c r="AS4" i="1"/>
  <c r="AR4" i="1"/>
  <c r="AQ4" i="1"/>
  <c r="AP4" i="1"/>
  <c r="AO4" i="1"/>
  <c r="AN4" i="1"/>
  <c r="AU106" i="1" s="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9" i="1" l="1"/>
  <c r="AV101" i="1"/>
  <c r="AU22" i="1"/>
  <c r="AU19" i="1"/>
  <c r="AT19" i="1"/>
  <c r="AU103" i="1"/>
  <c r="AU100" i="1" s="1"/>
  <c r="AO112" i="1"/>
  <c r="AV16" i="1"/>
  <c r="AU16" i="1"/>
  <c r="AT16" i="1"/>
  <c r="AU92" i="1"/>
  <c r="AU102" i="1" l="1"/>
  <c r="AU105" i="1"/>
  <c r="AU108" i="1" s="1"/>
  <c r="AR107" i="1" l="1"/>
  <c r="AR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<sst xmlns="http://schemas.openxmlformats.org/spreadsheetml/2006/main" count="1205" uniqueCount="168">
  <si>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</si>
  <si>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</si>
  <si>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</si>
  <si>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</si>
  <si>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</si>
  <si>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</si>
  <si>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</si>
  <si>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</si>
  <si>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</si>
  <si>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</si>
  <si>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</si>
  <si>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</si>
  <si>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</si>
  <si>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</si>
  <si>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</si>
  <si>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</si>
  <si>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</si>
  <si>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</si>
  <si>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</si>
  <si>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</si>
  <si>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</si>
  <si>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</si>
  <si>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</si>
  <si>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</si>
  <si>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</si>
  <si>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</si>
  <si>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</si>
  <si>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</si>
  <si>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</si>
  <si>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</si>
  <si>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</si>
  <si>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</si>
  <si>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</si>
  <si>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</si>
  <si>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</si>
  <si>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</si>
  <si>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</si>
  <si>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</si>
  <si>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</si>
  <si>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</si>
  <si>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</si>
  <si>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</si>
  <si>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</si>
  <si>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</si>
  <si>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</si>
  <si>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</si>
  <si>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</si>
  <si>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</si>
  <si>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</si>
  <si>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</si>
  <si>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</si>
  <si>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</si>
  <si>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</si>
  <si>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</si>
  <si>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</si>
  <si>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</si>
  <si>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</si>
  <si>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</si>
  <si>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</si>
  <si>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</si>
  <si>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</si>
  <si>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</si>
  <si>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</si>
  <si>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</si>
  <si>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</si>
  <si>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</si>
  <si>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</si>
  <si>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</si>
  <si>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</si>
  <si>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</si>
  <si>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</si>
  <si>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</si>
  <si>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</si>
  <si>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</si>
  <si>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</si>
  <si>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</si>
  <si>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</si>
  <si>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</si>
  <si>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</si>
  <si>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</si>
  <si>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</si>
  <si>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</si>
  <si>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</si>
  <si>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</si>
  <si>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</si>
  <si>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</si>
  <si>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</si>
  <si>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</si>
  <si>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</si>
  <si>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</si>
  <si>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</si>
  <si>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</si>
  <si>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</si>
  <si>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</si>
  <si>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</si>
  <si>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</si>
  <si>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</si>
  <si>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</si>
  <si>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</si>
  <si>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</si>
  <si>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</si>
  <si>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</si>
  <si>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</si>
  <si>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</si>
  <si>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</si>
  <si>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</si>
  <si>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</si>
  <si>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</si>
  <si>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</si>
  <si>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</si>
  <si>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</si>
  <si>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</si>
  <si>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</si>
  <si>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</si>
  <si>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</si>
  <si>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</si>
  <si>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</si>
  <si>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</si>
  <si>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</si>
  <si>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</si>
  <si>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</si>
  <si>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</si>
  <si>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</si>
  <si>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</si>
  <si>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</si>
  <si>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</si>
  <si>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</si>
  <si>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</si>
  <si>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</si>
  <si>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</si>
  <si>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</si>
  <si>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</si>
  <si>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</si>
  <si>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</si>
  <si>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</si>
  <si>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</si>
  <si>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</si>
  <si>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</si>
  <si>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</si>
  <si>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</si>
  <si>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</si>
  <si>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</si>
  <si>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</si>
  <si>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</si>
  <si>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</si>
  <si>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</si>
  <si>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</si>
  <si>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</si>
  <si>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</si>
  <si>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</si>
  <si>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</si>
  <si>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</si>
  <si>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</si>
  <si>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</si>
  <si>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</si>
  <si>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</si>
  <si>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</si>
  <si>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</si>
  <si>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DKK to USD</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</si>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</sst>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 fillId="7" borderId="0" xfId="0" applyNumberFormat="1" applyFont="1" applyFill="1" applyAlignment="1">
      <alignment horizontal="center" vertical="center"/>
    </xf>
    <xf numFmtId="0" fontId="1" fillId="0" borderId="0" xfId="0" applyFont="1" applyAlignment="1">
      <alignment horizontal="center"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10" fillId="8" borderId="0" xfId="0" applyNumberFormat="1" applyFont="1" applyFill="1"/>
    <xf numFmtId="164" fontId="6" fillId="0" borderId="0" xfId="0" applyNumberFormat="1" applyFont="1"/>
    <xf numFmtId="165" fontId="2"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4" fontId="1"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a:t>
            </a:r>
            <a:r>
              <a:rPr lang="en-US" sz="2400" baseline="0"/>
              <a:t> Nordisk</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1292475502865972"/>
          <c:w val="0.85960396039603948"/>
          <c:h val="0.7390088777247132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numCache>
            </c:numRef>
          </c:val>
          <c:extLst>
            <c:ext xmlns:c16="http://schemas.microsoft.com/office/drawing/2014/chart" uri="{C3380CC4-5D6E-409C-BE32-E72D297353CC}">
              <c16:uniqueId val="{00000000-C52B-9F46-AC4A-9003CA83C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1076576400</c:v>
                </c:pt>
                <c:pt idx="1">
                  <c:v>1013265000</c:v>
                </c:pt>
                <c:pt idx="2">
                  <c:v>963856650</c:v>
                </c:pt>
                <c:pt idx="3">
                  <c:v>1229071200</c:v>
                </c:pt>
                <c:pt idx="4">
                  <c:v>1521046500</c:v>
                </c:pt>
                <c:pt idx="5">
                  <c:v>1658289600</c:v>
                </c:pt>
                <c:pt idx="6">
                  <c:v>2054349900</c:v>
                </c:pt>
                <c:pt idx="7">
                  <c:v>2366614250</c:v>
                </c:pt>
                <c:pt idx="8">
                  <c:v>2671114500</c:v>
                </c:pt>
                <c:pt idx="9">
                  <c:v>2986329990</c:v>
                </c:pt>
                <c:pt idx="10">
                  <c:v>3293056400</c:v>
                </c:pt>
                <c:pt idx="11">
                  <c:v>3596721878</c:v>
                </c:pt>
                <c:pt idx="12">
                  <c:v>4313622600</c:v>
                </c:pt>
                <c:pt idx="13">
                  <c:v>5214316674</c:v>
                </c:pt>
                <c:pt idx="14">
                  <c:v>5382111280</c:v>
                </c:pt>
                <c:pt idx="15">
                  <c:v>5879539600</c:v>
                </c:pt>
                <c:pt idx="16">
                  <c:v>7092554490</c:v>
                </c:pt>
                <c:pt idx="17">
                  <c:v>7622672130</c:v>
                </c:pt>
                <c:pt idx="18">
                  <c:v>9028692900</c:v>
                </c:pt>
                <c:pt idx="19">
                  <c:v>9411594150</c:v>
                </c:pt>
                <c:pt idx="20">
                  <c:v>10149407800</c:v>
                </c:pt>
                <c:pt idx="21">
                  <c:v>11306850600</c:v>
                </c:pt>
                <c:pt idx="22">
                  <c:v>14002132000</c:v>
                </c:pt>
                <c:pt idx="23">
                  <c:v>15175680400</c:v>
                </c:pt>
                <c:pt idx="24">
                  <c:v>17804000000</c:v>
                </c:pt>
                <c:pt idx="25">
                  <c:v>22810000000</c:v>
                </c:pt>
                <c:pt idx="26">
                  <c:v>22884000000</c:v>
                </c:pt>
                <c:pt idx="27">
                  <c:v>32292000000</c:v>
                </c:pt>
                <c:pt idx="28">
                  <c:v>35393000000</c:v>
                </c:pt>
                <c:pt idx="29">
                  <c:v>37570000000</c:v>
                </c:pt>
                <c:pt idx="30">
                  <c:v>46509000000</c:v>
                </c:pt>
                <c:pt idx="31">
                  <c:v>51056000000</c:v>
                </c:pt>
                <c:pt idx="32">
                  <c:v>51952000000</c:v>
                </c:pt>
                <c:pt idx="33">
                  <c:v>51625000000</c:v>
                </c:pt>
                <c:pt idx="34">
                  <c:v>54434000000</c:v>
                </c:pt>
                <c:pt idx="35">
                  <c:v>59273000000</c:v>
                </c:pt>
                <c:pt idx="36">
                  <c:v>65394000000</c:v>
                </c:pt>
                <c:pt idx="37">
                  <c:v>76802000000</c:v>
                </c:pt>
              </c:numCache>
            </c:numRef>
          </c:val>
          <c:extLst>
            <c:ext xmlns:c16="http://schemas.microsoft.com/office/drawing/2014/chart" uri="{C3380CC4-5D6E-409C-BE32-E72D297353CC}">
              <c16:uniqueId val="{00000001-C52B-9F46-AC4A-9003CA83C81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numCache>
            </c:numRef>
          </c:val>
          <c:extLst>
            <c:ext xmlns:c16="http://schemas.microsoft.com/office/drawing/2014/chart" uri="{C3380CC4-5D6E-409C-BE32-E72D297353CC}">
              <c16:uniqueId val="{00000002-C52B-9F46-AC4A-9003CA83C811}"/>
            </c:ext>
          </c:extLst>
        </c:ser>
        <c:dLbls>
          <c:showLegendKey val="0"/>
          <c:showVal val="0"/>
          <c:showCatName val="0"/>
          <c:showSerName val="0"/>
          <c:showPercent val="0"/>
          <c:showBubbleSize val="0"/>
        </c:dLbls>
        <c:gapWidth val="100"/>
        <c:overlap val="-24"/>
        <c:axId val="337707360"/>
        <c:axId val="337709088"/>
      </c:barChart>
      <c:catAx>
        <c:axId val="337707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709088"/>
        <c:crosses val="autoZero"/>
        <c:auto val="1"/>
        <c:lblAlgn val="ctr"/>
        <c:lblOffset val="100"/>
        <c:noMultiLvlLbl val="0"/>
      </c:catAx>
      <c:valAx>
        <c:axId val="337709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707360"/>
        <c:crosses val="autoZero"/>
        <c:crossBetween val="between"/>
      </c:valAx>
      <c:spPr>
        <a:noFill/>
        <a:ln>
          <a:noFill/>
        </a:ln>
        <a:effectLst/>
      </c:spPr>
    </c:plotArea>
    <c:legend>
      <c:legendPos val="b"/>
      <c:layout>
        <c:manualLayout>
          <c:xMode val="edge"/>
          <c:yMode val="edge"/>
          <c:x val="0.3619244822120008"/>
          <c:y val="0.92859506687267779"/>
          <c:w val="0.30255367584002496"/>
          <c:h val="4.646869279123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47625</xdr:colOff>
      <xdr:row>108</xdr:row>
      <xdr:rowOff>33337</xdr:rowOff>
    </xdr:from>
    <xdr:to>
      <xdr:col>47</xdr:col>
      <xdr:colOff>47625</xdr:colOff>
      <xdr:row>133</xdr:row>
      <xdr:rowOff>15875</xdr:rowOff>
    </xdr:to>
    <xdr:graphicFrame macro="">
      <xdr:nvGraphicFramePr>
        <xdr:cNvPr id="2" name="Chart 1">
          <a:extLst>
            <a:ext uri="{FF2B5EF4-FFF2-40B4-BE49-F238E27FC236}">
              <a16:creationId xmlns:a16="http://schemas.microsoft.com/office/drawing/2014/main" id="{D14A45A3-0AA5-04A4-BD22-AEEF2E245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https://www.bing.com/financeapi/forcetrigger?t=an2tur&amp;q=XSWX%3aNOVOB&amp;form=skydnc</v>
    <v>Learn more on Bing</v>
  </rv>
  <rv s="1">
    <v>0</v>
    <v>Novo Nordisk A/S (XSWX:NOVOB)</v>
    <v>2</v>
    <v>3</v>
    <v>Finance</v>
    <v>4</v>
    <v>en-US</v>
    <v>an2tur</v>
    <v>268435456</v>
    <v>1</v>
    <v>Powered by Refinitiv</v>
    <v>50.17</v>
    <v>49.155000000000001</v>
    <v>0.77180000000000004</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SIX Swiss Exchange</v>
    <v>XSWX</v>
    <v>XSWX</v>
    <v>Novo Alle 1, BAGSVAERD, DENMARK-NA, 2880 DK</v>
    <v>49.67</v>
    <v>Pharmaceuticals</v>
    <v>Stock</v>
    <v>43644.651412037034</v>
    <v>0</v>
    <v>49.67</v>
    <v>778949400000</v>
    <v>Novo Nordisk A/S</v>
    <v>Novo Nordisk A/S</v>
    <v>49.67</v>
    <v>13.7972</v>
    <v>49.51</v>
    <v>49.67</v>
    <v>1717564000</v>
    <v>NOVOB</v>
    <v>Novo Nordisk A/S (XSWX:NOVOB)</v>
    <v>2478</v>
    <v>1335440</v>
    <v>1931</v>
  </rv>
  <rv s="2">
    <v>1</v>
  </rv>
  <rv s="0">
    <v>https://www.bing.com/financeapi/forcetrigger?t=a1yvxm&amp;q=XNYS%3aNVO&amp;form=skydnc</v>
    <v>Learn more on Bing</v>
  </rv>
  <rv s="3">
    <v>5</v>
    <v>Novo Nordisk A/S (XNYS:NVO)</v>
    <v>2</v>
    <v>6</v>
    <v>Finance</v>
    <v>7</v>
    <v>en-US</v>
    <v>a1yvxm</v>
    <v>268435456</v>
    <v>1</v>
    <v>Powered by Refinitiv</v>
    <v>172.97</v>
    <v>95.02</v>
    <v>0.46850000000000003</v>
    <v>4.8</v>
    <v>3.0567E-2</v>
    <v>0</v>
    <v>0</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162.08000000000001</v>
    <v>Pharmaceuticals</v>
    <v>Stock</v>
    <v>45107.998778367968</v>
    <v>3</v>
    <v>160.51</v>
    <v>268499900000</v>
    <v>Novo Nordisk A/S</v>
    <v>Novo Nordisk A/S</v>
    <v>160.53</v>
    <v>40.136699999999998</v>
    <v>157.03</v>
    <v>161.83000000000001</v>
    <v>161.83000000000001</v>
    <v>1717564000</v>
    <v>NVO</v>
    <v>Novo Nordisk A/S (XNYS:NVO)</v>
    <v>1089948</v>
    <v>1271112</v>
    <v>1931</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11</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hyperlink" Target="https://finbox.com/LSE:0QIU/explorer/fcf_unlev_proj" TargetMode="Externa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LSE:0QI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2" activePane="bottomRight" state="frozen"/>
      <selection pane="topRight"/>
      <selection pane="bottomLeft"/>
      <selection pane="bottomRight" activeCell="AQ13" sqref="AQ1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4">
        <v>222520000000</v>
      </c>
      <c r="AO3" s="24">
        <v>257800000000</v>
      </c>
      <c r="AP3" s="24">
        <v>291400000000</v>
      </c>
      <c r="AQ3" s="24">
        <v>321900000000</v>
      </c>
      <c r="AR3" s="24">
        <v>361200000000</v>
      </c>
      <c r="AS3" s="18" t="s">
        <v>108</v>
      </c>
      <c r="AT3" s="19" t="s">
        <v>109</v>
      </c>
      <c r="AU3" s="19" t="s">
        <v>110</v>
      </c>
      <c r="AV3" s="19" t="s">
        <v>111</v>
      </c>
    </row>
    <row r="4" spans="1:48" ht="19" x14ac:dyDescent="0.25">
      <c r="A4" s="14" t="s">
        <v>93</v>
      </c>
      <c r="B4" s="1"/>
      <c r="C4" s="15">
        <f>(C3/B3)-1</f>
        <v>6.980606192824812E-3</v>
      </c>
      <c r="D4" s="15">
        <f>(D3/C3)-1</f>
        <v>0.20068544466229898</v>
      </c>
      <c r="E4" s="15">
        <f>(E3/D3)-1</f>
        <v>0.1197391343547396</v>
      </c>
      <c r="F4" s="15">
        <f t="shared" ref="F4:AR4" si="0">(F3/E3)-1</f>
        <v>0.35335182953018274</v>
      </c>
      <c r="G4" s="15">
        <f t="shared" si="0"/>
        <v>9.3550547729781997E-2</v>
      </c>
      <c r="H4" s="16">
        <f t="shared" si="0"/>
        <v>0.17973610997758005</v>
      </c>
      <c r="I4" s="16">
        <f t="shared" si="0"/>
        <v>8.5595826170694389E-2</v>
      </c>
      <c r="J4" s="16">
        <f t="shared" si="0"/>
        <v>0.23192594128806188</v>
      </c>
      <c r="K4" s="16">
        <f t="shared" si="0"/>
        <v>2.8316204797541822E-2</v>
      </c>
      <c r="L4" s="16">
        <f t="shared" si="0"/>
        <v>1.4446397493055319E-2</v>
      </c>
      <c r="M4" s="16">
        <f t="shared" si="0"/>
        <v>8.683752517150567E-2</v>
      </c>
      <c r="N4" s="16">
        <f t="shared" si="0"/>
        <v>0.13956676439935589</v>
      </c>
      <c r="O4" s="16">
        <f t="shared" si="0"/>
        <v>5.4501255620785782E-2</v>
      </c>
      <c r="P4" s="16">
        <f t="shared" si="0"/>
        <v>0.169445370969868</v>
      </c>
      <c r="Q4" s="16">
        <f t="shared" si="0"/>
        <v>-6.1774673179387785E-3</v>
      </c>
      <c r="R4" s="16">
        <f t="shared" si="0"/>
        <v>0.13941957425539075</v>
      </c>
      <c r="S4" s="16">
        <f t="shared" si="0"/>
        <v>6.0592561716144688E-2</v>
      </c>
      <c r="T4" s="16">
        <f t="shared" si="0"/>
        <v>5.8000558354871501E-2</v>
      </c>
      <c r="U4" s="16">
        <f t="shared" si="0"/>
        <v>9.846672664247702E-2</v>
      </c>
      <c r="V4" s="16">
        <f t="shared" si="0"/>
        <v>0.15325265129913146</v>
      </c>
      <c r="W4" s="16">
        <f t="shared" si="0"/>
        <v>0.14943871469471381</v>
      </c>
      <c r="X4" s="16">
        <f t="shared" si="0"/>
        <v>8.0949994630961086E-2</v>
      </c>
      <c r="Y4" s="16">
        <f t="shared" si="0"/>
        <v>9.0175625574527407E-2</v>
      </c>
      <c r="Z4" s="16">
        <f t="shared" si="0"/>
        <v>0.11850973002733989</v>
      </c>
      <c r="AA4" s="16">
        <f t="shared" si="0"/>
        <v>0.18986647871882223</v>
      </c>
      <c r="AB4" s="16">
        <f t="shared" si="0"/>
        <v>9.164801895485053E-2</v>
      </c>
      <c r="AC4" s="16">
        <f t="shared" si="0"/>
        <v>0.17604678503602322</v>
      </c>
      <c r="AD4" s="16">
        <f t="shared" si="0"/>
        <v>7.1078871145515699E-2</v>
      </c>
      <c r="AE4" s="16">
        <f t="shared" si="0"/>
        <v>6.262863159910026E-2</v>
      </c>
      <c r="AF4" s="16">
        <f t="shared" si="0"/>
        <v>0.21531202846654507</v>
      </c>
      <c r="AG4" s="16">
        <f t="shared" si="0"/>
        <v>3.5700056519684553E-2</v>
      </c>
      <c r="AH4" s="16">
        <f t="shared" si="0"/>
        <v>-7.5147611379500212E-4</v>
      </c>
      <c r="AI4" s="16">
        <f t="shared" si="0"/>
        <v>1.208637730984119E-3</v>
      </c>
      <c r="AJ4" s="16">
        <f t="shared" si="0"/>
        <v>9.1119635879139071E-2</v>
      </c>
      <c r="AK4" s="16">
        <f t="shared" si="0"/>
        <v>4.0361904918005953E-2</v>
      </c>
      <c r="AL4" s="16">
        <f t="shared" si="0"/>
        <v>0.10913301718841084</v>
      </c>
      <c r="AM4" s="16">
        <f t="shared" si="0"/>
        <v>0.25677556818181824</v>
      </c>
      <c r="AN4" s="16">
        <f t="shared" si="0"/>
        <v>0.25750194965923345</v>
      </c>
      <c r="AO4" s="16">
        <f t="shared" si="0"/>
        <v>0.15854754628797418</v>
      </c>
      <c r="AP4" s="16">
        <f t="shared" si="0"/>
        <v>0.13033359193173011</v>
      </c>
      <c r="AQ4" s="16">
        <f t="shared" si="0"/>
        <v>0.10466712422786539</v>
      </c>
      <c r="AR4" s="16">
        <f t="shared" si="0"/>
        <v>0.12208760484622561</v>
      </c>
      <c r="AS4" s="17">
        <f>(AM4+AL4+AK4)/3</f>
        <v>0.13542349676274501</v>
      </c>
      <c r="AT4" s="17">
        <f>(AM20+AL20+AK20)/3</f>
        <v>0.12220494353427631</v>
      </c>
      <c r="AU4" s="17">
        <f>(AM29+AL29+AK29)/3</f>
        <v>0.12594170156923759</v>
      </c>
      <c r="AV4" s="17">
        <f>(AM106+AL106+AK106)/3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112</v>
      </c>
      <c r="AT6" s="19" t="s">
        <v>113</v>
      </c>
      <c r="AU6" s="19" t="s">
        <v>114</v>
      </c>
      <c r="AV6" s="19" t="s">
        <v>115</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AM21</f>
        <v>0.434</v>
      </c>
      <c r="AU7" s="20">
        <f>AM30</f>
        <v>0.31380000000000002</v>
      </c>
      <c r="AV7" s="20">
        <f>AM107/AM3</f>
        <v>0.36243317472337444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116</v>
      </c>
      <c r="AT12" s="19" t="s">
        <v>117</v>
      </c>
      <c r="AU12" s="19" t="s">
        <v>118</v>
      </c>
      <c r="AV12" s="19" t="s">
        <v>119</v>
      </c>
    </row>
    <row r="13" spans="1:48" ht="19" x14ac:dyDescent="0.25">
      <c r="A13" s="14" t="s">
        <v>99</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91</v>
      </c>
      <c r="AA14" s="1">
        <v>-1314000000</v>
      </c>
      <c r="AB14" s="1" t="s">
        <v>91</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120</v>
      </c>
      <c r="AT15" s="19" t="s">
        <v>121</v>
      </c>
      <c r="AU15" s="19" t="s">
        <v>122</v>
      </c>
      <c r="AV15" s="19" t="s">
        <v>123</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5">
        <f>(AM35+AL35+AK35+AJ35+AI35)/5</f>
        <v>-1.7157376237623801E-2</v>
      </c>
      <c r="AT16" s="26">
        <f>AU101/AM3</f>
        <v>4.4019880872995243</v>
      </c>
      <c r="AU16" s="26">
        <f>AU101/AM28</f>
        <v>14.028805042773525</v>
      </c>
      <c r="AV16" s="27">
        <f>AU101/AM107</f>
        <v>12.145654411076809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8"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91</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124</v>
      </c>
      <c r="AT18" s="19" t="s">
        <v>159</v>
      </c>
      <c r="AU18" s="19" t="s">
        <v>160</v>
      </c>
      <c r="AV18" s="19" t="s">
        <v>161</v>
      </c>
    </row>
    <row r="19" spans="1:48"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N19" s="45">
        <v>104100000000</v>
      </c>
      <c r="AO19" s="45">
        <v>122600000000</v>
      </c>
      <c r="AP19" s="45">
        <v>140100000000</v>
      </c>
      <c r="AQ19" s="45">
        <v>159100000000</v>
      </c>
      <c r="AR19" s="45">
        <v>180100000000</v>
      </c>
      <c r="AS19" s="28">
        <f>AM40-AM56-AM61</f>
        <v>-2210000000</v>
      </c>
      <c r="AT19" s="34">
        <f>AU101/AN3</f>
        <v>3.5005815207621787</v>
      </c>
      <c r="AU19" s="34">
        <f>AU101/AN28</f>
        <v>9.8405624265699814</v>
      </c>
      <c r="AV19" s="35">
        <f>AU101/AN106</f>
        <v>11.032808804158464</v>
      </c>
    </row>
    <row r="20" spans="1:48" ht="19" customHeight="1" x14ac:dyDescent="0.25">
      <c r="A20" s="14" t="s">
        <v>100</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c r="AN20" s="16">
        <f t="shared" ref="AN20" si="4">(AN19/AM19)-1</f>
        <v>0.35543345225384759</v>
      </c>
      <c r="AO20" s="16">
        <f t="shared" ref="AO20" si="5">(AO19/AN19)-1</f>
        <v>0.17771373679154667</v>
      </c>
      <c r="AP20" s="16">
        <f t="shared" ref="AP20" si="6">(AP19/AO19)-1</f>
        <v>0.14274061990212061</v>
      </c>
      <c r="AQ20" s="16">
        <f t="shared" ref="AQ20" si="7">(AQ19/AP19)-1</f>
        <v>0.13561741613133482</v>
      </c>
      <c r="AR20" s="16">
        <f t="shared" ref="AR20" si="8">(AR19/AQ19)-1</f>
        <v>0.13199245757385292</v>
      </c>
    </row>
    <row r="21" spans="1:48" ht="20"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41">
        <v>0.434</v>
      </c>
      <c r="AN21" s="46">
        <f>AN19/AN3</f>
        <v>0.46782311702318891</v>
      </c>
      <c r="AO21" s="46">
        <f t="shared" ref="AO21:AR21" si="9">AO19/AO3</f>
        <v>0.47556245151280063</v>
      </c>
      <c r="AP21" s="46">
        <f t="shared" si="9"/>
        <v>0.4807824296499657</v>
      </c>
      <c r="AQ21" s="46">
        <f t="shared" si="9"/>
        <v>0.4942528735632184</v>
      </c>
      <c r="AR21" s="46">
        <f t="shared" si="9"/>
        <v>0.49861572535991139</v>
      </c>
      <c r="AU21" s="18" t="s">
        <v>162</v>
      </c>
      <c r="AV21" s="19" t="s">
        <v>163</v>
      </c>
    </row>
    <row r="22" spans="1:48"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40">
        <v>74809000000</v>
      </c>
      <c r="AU22" s="36">
        <f>(-1*AM98)/AU101</f>
        <v>3.248349636061084E-2</v>
      </c>
      <c r="AV22" s="37">
        <f>AM107/AU101</f>
        <v>8.2333974453282846E-2</v>
      </c>
    </row>
    <row r="23" spans="1:48"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8"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8"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8"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8"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8"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c r="AN28" s="42">
        <v>79157000000</v>
      </c>
      <c r="AO28" s="42">
        <v>90647000000</v>
      </c>
      <c r="AP28" s="42">
        <v>103700000000</v>
      </c>
      <c r="AQ28" s="42">
        <v>115200000000</v>
      </c>
      <c r="AR28" s="42">
        <v>126100000000</v>
      </c>
    </row>
    <row r="29" spans="1:48" ht="20" customHeight="1" thickTop="1" x14ac:dyDescent="0.25">
      <c r="A29" s="14" t="s">
        <v>101</v>
      </c>
      <c r="B29" s="1"/>
      <c r="C29" s="15">
        <f>(C28/B28)-1</f>
        <v>-0.14223017932102056</v>
      </c>
      <c r="D29" s="15">
        <f>(D28/C28)-1</f>
        <v>-7.8480580452411464E-2</v>
      </c>
      <c r="E29" s="15">
        <f>(E28/D28)-1</f>
        <v>0.32785516862675212</v>
      </c>
      <c r="F29" s="15">
        <f t="shared" ref="F29:AM29" si="10">(F28/E28)-1</f>
        <v>0.1694283275059445</v>
      </c>
      <c r="G29" s="15">
        <f t="shared" si="10"/>
        <v>1.8947856647587802E-2</v>
      </c>
      <c r="H29" s="15">
        <f t="shared" si="10"/>
        <v>0.22374308268571763</v>
      </c>
      <c r="I29" s="15">
        <f t="shared" si="10"/>
        <v>0.36819939248127453</v>
      </c>
      <c r="J29" s="15">
        <f t="shared" si="10"/>
        <v>0.12387715706944413</v>
      </c>
      <c r="K29" s="15">
        <f t="shared" si="10"/>
        <v>7.6649905005599095E-4</v>
      </c>
      <c r="L29" s="15">
        <f t="shared" si="10"/>
        <v>9.1021201488125314E-2</v>
      </c>
      <c r="M29" s="15">
        <f t="shared" si="10"/>
        <v>0.1541842972651708</v>
      </c>
      <c r="N29" s="15">
        <f t="shared" si="10"/>
        <v>0.23111310925984307</v>
      </c>
      <c r="O29" s="15">
        <f t="shared" si="10"/>
        <v>8.5459214420868346E-2</v>
      </c>
      <c r="P29" s="15">
        <f t="shared" si="10"/>
        <v>5.6373158953437752E-4</v>
      </c>
      <c r="Q29" s="15">
        <f t="shared" si="10"/>
        <v>0.28133055014833563</v>
      </c>
      <c r="R29" s="15">
        <f t="shared" si="10"/>
        <v>0.24708438546941514</v>
      </c>
      <c r="S29" s="15">
        <f t="shared" si="10"/>
        <v>6.2241975622233658E-2</v>
      </c>
      <c r="T29" s="15">
        <f t="shared" si="10"/>
        <v>0.19095041668556845</v>
      </c>
      <c r="U29" s="15">
        <f t="shared" si="10"/>
        <v>3.6272177660691129E-2</v>
      </c>
      <c r="V29" s="15">
        <f t="shared" si="10"/>
        <v>0.15996169137874983</v>
      </c>
      <c r="W29" s="15">
        <f t="shared" si="10"/>
        <v>0.10186941513952097</v>
      </c>
      <c r="X29" s="15">
        <f t="shared" si="10"/>
        <v>0.32268488698842823</v>
      </c>
      <c r="Y29" s="15">
        <f t="shared" si="10"/>
        <v>0.13247840196193073</v>
      </c>
      <c r="Z29" s="15">
        <f t="shared" si="10"/>
        <v>0.11400735551082519</v>
      </c>
      <c r="AA29" s="15">
        <f t="shared" si="10"/>
        <v>0.33757429420505192</v>
      </c>
      <c r="AB29" s="15">
        <f t="shared" si="10"/>
        <v>0.1870443657571339</v>
      </c>
      <c r="AC29" s="15">
        <f t="shared" si="10"/>
        <v>0.25355325495701009</v>
      </c>
      <c r="AD29" s="15">
        <f t="shared" si="10"/>
        <v>0.17506532288167231</v>
      </c>
      <c r="AE29" s="15">
        <f t="shared" si="10"/>
        <v>5.1500952986022863E-2</v>
      </c>
      <c r="AF29" s="15">
        <f t="shared" si="10"/>
        <v>0.31641554321966692</v>
      </c>
      <c r="AG29" s="15">
        <f t="shared" si="10"/>
        <v>8.7923121055651254E-2</v>
      </c>
      <c r="AH29" s="15">
        <f t="shared" si="10"/>
        <v>5.4054054054053502E-3</v>
      </c>
      <c r="AI29" s="15">
        <f t="shared" si="10"/>
        <v>1.3060582218725303E-2</v>
      </c>
      <c r="AJ29" s="15">
        <f t="shared" si="10"/>
        <v>8.3618100859479405E-3</v>
      </c>
      <c r="AK29" s="15">
        <f t="shared" si="10"/>
        <v>8.1820749146363392E-2</v>
      </c>
      <c r="AL29" s="15">
        <f t="shared" si="10"/>
        <v>0.13334757226256588</v>
      </c>
      <c r="AM29" s="15">
        <f t="shared" si="10"/>
        <v>0.16265678329878352</v>
      </c>
      <c r="AN29" s="16">
        <f t="shared" ref="AN29" si="11">(AN28/AM28)-1</f>
        <v>0.42561008554705082</v>
      </c>
      <c r="AO29" s="16">
        <f t="shared" ref="AO29" si="12">(AO28/AN28)-1</f>
        <v>0.14515456624177259</v>
      </c>
      <c r="AP29" s="16">
        <f t="shared" ref="AP29" si="13">(AP28/AO28)-1</f>
        <v>0.14399814665681165</v>
      </c>
      <c r="AQ29" s="16">
        <f t="shared" ref="AQ29" si="14">(AQ28/AP28)-1</f>
        <v>0.11089681774349081</v>
      </c>
      <c r="AR29" s="16">
        <f t="shared" ref="AR29" si="15">(AR28/AQ28)-1</f>
        <v>9.461805555555558E-2</v>
      </c>
    </row>
    <row r="30" spans="1:48"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c r="AN30" s="43">
        <f>AN28/AN3</f>
        <v>0.35572982203846848</v>
      </c>
      <c r="AO30" s="43">
        <f t="shared" ref="AO30:AR30" si="16">AO28/AO3</f>
        <v>0.35161753297129555</v>
      </c>
      <c r="AP30" s="43">
        <f t="shared" si="16"/>
        <v>0.35586822237474264</v>
      </c>
      <c r="AQ30" s="43">
        <f t="shared" si="16"/>
        <v>0.35787511649580617</v>
      </c>
      <c r="AR30" s="43">
        <f t="shared" si="16"/>
        <v>0.3491140642303433</v>
      </c>
    </row>
    <row r="31" spans="1:48"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c r="AN31" s="44">
        <v>35.31</v>
      </c>
      <c r="AO31" s="44">
        <v>40.43</v>
      </c>
      <c r="AP31" s="44">
        <v>46.27</v>
      </c>
      <c r="AQ31" s="44">
        <v>51.37</v>
      </c>
      <c r="AR31" s="44">
        <v>56.26</v>
      </c>
    </row>
    <row r="32" spans="1:48"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102</v>
      </c>
      <c r="B35" s="1"/>
      <c r="C35" s="22">
        <f>(C34-B34)/B34</f>
        <v>9.7977245579556511E-3</v>
      </c>
      <c r="D35" s="22">
        <f t="shared" ref="D35:AM35" si="17">(D34-C34)/C34</f>
        <v>2.4534301969066558E-3</v>
      </c>
      <c r="E35" s="22">
        <f t="shared" si="17"/>
        <v>1.4100394846999979E-2</v>
      </c>
      <c r="F35" s="22">
        <f t="shared" si="17"/>
        <v>0.56419334956343159</v>
      </c>
      <c r="G35" s="22">
        <f t="shared" si="17"/>
        <v>-0.22291113084935027</v>
      </c>
      <c r="H35" s="22">
        <f t="shared" si="17"/>
        <v>-7.0330969156418191E-2</v>
      </c>
      <c r="I35" s="22">
        <f t="shared" si="17"/>
        <v>0.28989192609930209</v>
      </c>
      <c r="J35" s="22">
        <f t="shared" si="17"/>
        <v>4.0484404144360063E-4</v>
      </c>
      <c r="K35" s="22">
        <f t="shared" si="17"/>
        <v>-5.9646342239579632E-3</v>
      </c>
      <c r="L35" s="22">
        <f t="shared" si="17"/>
        <v>5.5734917069975437E-3</v>
      </c>
      <c r="M35" s="22">
        <f t="shared" si="17"/>
        <v>-5.7303577010051768E-3</v>
      </c>
      <c r="N35" s="22">
        <f t="shared" si="17"/>
        <v>8.7804915469153512E-3</v>
      </c>
      <c r="O35" s="22">
        <f t="shared" si="17"/>
        <v>-1.6123079926645242E-2</v>
      </c>
      <c r="P35" s="22">
        <f t="shared" si="17"/>
        <v>-3.5710865348832582E-2</v>
      </c>
      <c r="Q35" s="22">
        <f t="shared" si="17"/>
        <v>-2.3353578015036697E-2</v>
      </c>
      <c r="R35" s="22">
        <f t="shared" si="17"/>
        <v>-6.8402306721917433E-3</v>
      </c>
      <c r="S35" s="22">
        <f t="shared" si="17"/>
        <v>6.58470515755262E-3</v>
      </c>
      <c r="T35" s="22">
        <f t="shared" si="17"/>
        <v>-1.4568952429014757E-2</v>
      </c>
      <c r="U35" s="22">
        <f t="shared" si="17"/>
        <v>-1.3096228056373803E-2</v>
      </c>
      <c r="V35" s="22">
        <f t="shared" si="17"/>
        <v>-2.9530204770563007E-2</v>
      </c>
      <c r="W35" s="22">
        <f t="shared" si="17"/>
        <v>-1.9784737262642241E-2</v>
      </c>
      <c r="X35" s="22">
        <f t="shared" si="17"/>
        <v>-1.5806926419427103E-2</v>
      </c>
      <c r="Y35" s="22">
        <f t="shared" si="17"/>
        <v>-2.0537015244363289E-2</v>
      </c>
      <c r="Z35" s="22">
        <f t="shared" si="17"/>
        <v>-2.9514501883423559E-2</v>
      </c>
      <c r="AA35" s="22">
        <f t="shared" si="17"/>
        <v>-3.1074231022110831E-2</v>
      </c>
      <c r="AB35" s="22">
        <f t="shared" si="17"/>
        <v>-2.6227369168253595E-2</v>
      </c>
      <c r="AC35" s="22">
        <f t="shared" si="17"/>
        <v>-3.2385482660155895E-2</v>
      </c>
      <c r="AD35" s="22">
        <f t="shared" si="17"/>
        <v>-2.3461574715227276E-2</v>
      </c>
      <c r="AE35" s="22">
        <f t="shared" si="17"/>
        <v>-2.3734872151839993E-2</v>
      </c>
      <c r="AF35" s="22">
        <f t="shared" si="17"/>
        <v>-1.9504103513591688E-2</v>
      </c>
      <c r="AG35" s="22">
        <f t="shared" si="17"/>
        <v>-1.6938150367436424E-2</v>
      </c>
      <c r="AH35" s="22">
        <f t="shared" si="17"/>
        <v>-2.2344006006164763E-2</v>
      </c>
      <c r="AI35" s="22">
        <f t="shared" si="17"/>
        <v>-2.1660204035926011E-2</v>
      </c>
      <c r="AJ35" s="22">
        <f t="shared" si="17"/>
        <v>-1.8874228319633132E-2</v>
      </c>
      <c r="AK35" s="22">
        <f t="shared" si="17"/>
        <v>-1.6252021097610501E-2</v>
      </c>
      <c r="AL35" s="22">
        <f t="shared" si="17"/>
        <v>-2.6068376068376069E-3</v>
      </c>
      <c r="AM35" s="22">
        <f t="shared" si="17"/>
        <v>-2.6393590128111745E-2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91</v>
      </c>
      <c r="AI39" s="1" t="s">
        <v>91</v>
      </c>
      <c r="AJ39" s="1" t="s">
        <v>91</v>
      </c>
      <c r="AK39" s="1" t="s">
        <v>91</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91</v>
      </c>
      <c r="C43" s="1">
        <v>-734250</v>
      </c>
      <c r="D43" s="1">
        <v>609650</v>
      </c>
      <c r="E43" s="1">
        <v>687400</v>
      </c>
      <c r="F43" s="1" t="s">
        <v>91</v>
      </c>
      <c r="G43" s="1" t="s">
        <v>91</v>
      </c>
      <c r="H43" s="1" t="s">
        <v>91</v>
      </c>
      <c r="I43" s="1" t="s">
        <v>91</v>
      </c>
      <c r="J43" s="1" t="s">
        <v>91</v>
      </c>
      <c r="K43" s="1" t="s">
        <v>91</v>
      </c>
      <c r="L43" s="1" t="s">
        <v>91</v>
      </c>
      <c r="M43" s="1" t="s">
        <v>91</v>
      </c>
      <c r="N43" s="1">
        <v>4234197168</v>
      </c>
      <c r="O43" s="1">
        <v>1917711922</v>
      </c>
      <c r="P43" s="1">
        <v>2543195440</v>
      </c>
      <c r="Q43" s="1">
        <v>2574805200</v>
      </c>
      <c r="R43" s="1" t="s">
        <v>91</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16951800</v>
      </c>
      <c r="X46" s="1">
        <v>66482000</v>
      </c>
      <c r="Y46" s="1" t="s">
        <v>91</v>
      </c>
      <c r="Z46" s="1" t="s">
        <v>91</v>
      </c>
      <c r="AA46" s="1">
        <v>70000000</v>
      </c>
      <c r="AB46" s="1" t="s">
        <v>91</v>
      </c>
      <c r="AC46" s="1" t="s">
        <v>91</v>
      </c>
      <c r="AD46" s="1" t="s">
        <v>91</v>
      </c>
      <c r="AE46" s="1" t="s">
        <v>91</v>
      </c>
      <c r="AF46" s="1" t="s">
        <v>91</v>
      </c>
      <c r="AG46" s="1" t="s">
        <v>91</v>
      </c>
      <c r="AH46" s="1" t="s">
        <v>91</v>
      </c>
      <c r="AI46" s="1" t="s">
        <v>91</v>
      </c>
      <c r="AJ46" s="1" t="s">
        <v>91</v>
      </c>
      <c r="AK46" s="1" t="s">
        <v>91</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91</v>
      </c>
      <c r="AD51" s="1" t="s">
        <v>91</v>
      </c>
      <c r="AE51" s="1" t="s">
        <v>91</v>
      </c>
      <c r="AF51" s="1" t="s">
        <v>91</v>
      </c>
      <c r="AG51" s="1" t="s">
        <v>91</v>
      </c>
      <c r="AH51" s="1" t="s">
        <v>91</v>
      </c>
      <c r="AI51" s="1" t="s">
        <v>91</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91</v>
      </c>
      <c r="C55" s="1" t="s">
        <v>91</v>
      </c>
      <c r="D55" s="1" t="s">
        <v>91</v>
      </c>
      <c r="E55" s="1" t="s">
        <v>91</v>
      </c>
      <c r="F55" s="1" t="s">
        <v>91</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91</v>
      </c>
      <c r="AD61" s="1" t="s">
        <v>91</v>
      </c>
      <c r="AE61" s="1" t="s">
        <v>91</v>
      </c>
      <c r="AF61" s="1" t="s">
        <v>91</v>
      </c>
      <c r="AG61" s="1" t="s">
        <v>91</v>
      </c>
      <c r="AH61" s="1" t="s">
        <v>91</v>
      </c>
      <c r="AI61" s="1" t="s">
        <v>91</v>
      </c>
      <c r="AJ61" s="1">
        <v>3009000000</v>
      </c>
      <c r="AK61" s="1">
        <v>2897000000</v>
      </c>
      <c r="AL61" s="1">
        <v>12961000000</v>
      </c>
      <c r="AM61" s="1">
        <v>24318000000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46612800</v>
      </c>
      <c r="C63" s="1" t="s">
        <v>91</v>
      </c>
      <c r="D63" s="1" t="s">
        <v>91</v>
      </c>
      <c r="E63" s="1" t="s">
        <v>91</v>
      </c>
      <c r="F63" s="1" t="s">
        <v>91</v>
      </c>
      <c r="G63" s="1" t="s">
        <v>91</v>
      </c>
      <c r="H63" s="1" t="s">
        <v>91</v>
      </c>
      <c r="I63" s="1" t="s">
        <v>91</v>
      </c>
      <c r="J63" s="1" t="s">
        <v>91</v>
      </c>
      <c r="K63" s="1" t="s">
        <v>91</v>
      </c>
      <c r="L63" s="1" t="s">
        <v>91</v>
      </c>
      <c r="M63" s="1" t="s">
        <v>91</v>
      </c>
      <c r="N63" s="1" t="s">
        <v>91</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91</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91</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91</v>
      </c>
      <c r="C77" s="1" t="s">
        <v>91</v>
      </c>
      <c r="D77" s="1" t="s">
        <v>91</v>
      </c>
      <c r="E77" s="1" t="s">
        <v>91</v>
      </c>
      <c r="F77" s="1" t="s">
        <v>91</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91</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91</v>
      </c>
      <c r="C78" s="1" t="s">
        <v>91</v>
      </c>
      <c r="D78" s="1" t="s">
        <v>91</v>
      </c>
      <c r="E78" s="1" t="s">
        <v>91</v>
      </c>
      <c r="F78" s="1" t="s">
        <v>91</v>
      </c>
      <c r="G78" s="1">
        <v>-26569600</v>
      </c>
      <c r="H78" s="1">
        <v>117087300</v>
      </c>
      <c r="I78" s="1">
        <v>-144267500</v>
      </c>
      <c r="J78" s="1">
        <v>53001000</v>
      </c>
      <c r="K78" s="1">
        <v>-210399140</v>
      </c>
      <c r="L78" s="1">
        <v>592439800</v>
      </c>
      <c r="M78" s="1" t="s">
        <v>91</v>
      </c>
      <c r="N78" s="1">
        <v>-143102718</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t="s">
        <v>91</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t="e">
        <f t="shared" si="18"/>
        <v>#VALUE!</v>
      </c>
      <c r="Z80" s="15" t="e">
        <f t="shared" si="18"/>
        <v>#VALUE!</v>
      </c>
      <c r="AA80" s="15" t="e">
        <f t="shared" si="18"/>
        <v>#VALUE!</v>
      </c>
      <c r="AB80" s="15" t="e">
        <f t="shared" si="18"/>
        <v>#VALUE!</v>
      </c>
      <c r="AC80" s="15">
        <f t="shared" si="18"/>
        <v>3.9474021480019484E-3</v>
      </c>
      <c r="AD80" s="15">
        <f t="shared" si="18"/>
        <v>4.8939836308811565E-3</v>
      </c>
      <c r="AE80" s="15">
        <f t="shared" si="18"/>
        <v>4.1776456545728896E-3</v>
      </c>
      <c r="AF80" s="15">
        <f t="shared" si="18"/>
        <v>4.0953607531016333E-3</v>
      </c>
      <c r="AG80" s="15">
        <f t="shared" si="18"/>
        <v>3.2921810699588477E-3</v>
      </c>
      <c r="AH80" s="15">
        <f t="shared" si="18"/>
        <v>2.6142386477582009E-3</v>
      </c>
      <c r="AI80" s="15">
        <f t="shared" si="18"/>
        <v>3.7020146471014297E-3</v>
      </c>
      <c r="AJ80" s="15">
        <f t="shared" si="18"/>
        <v>2.9748977634997255E-3</v>
      </c>
      <c r="AK80" s="15">
        <f t="shared" si="18"/>
        <v>6.4830715422305547E-3</v>
      </c>
      <c r="AL80" s="15">
        <f t="shared" si="18"/>
        <v>7.3863636363636362E-3</v>
      </c>
      <c r="AM80" s="15">
        <f t="shared" si="18"/>
        <v>8.6971755371452464E-3</v>
      </c>
    </row>
    <row r="81" spans="1:47" ht="19" x14ac:dyDescent="0.25">
      <c r="A81" s="5" t="s">
        <v>69</v>
      </c>
      <c r="B81" s="1" t="s">
        <v>91</v>
      </c>
      <c r="C81" s="1" t="s">
        <v>91</v>
      </c>
      <c r="D81" s="1" t="s">
        <v>91</v>
      </c>
      <c r="E81" s="1" t="s">
        <v>91</v>
      </c>
      <c r="F81" s="1" t="s">
        <v>91</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21" x14ac:dyDescent="0.25">
      <c r="A83" s="5" t="s">
        <v>34</v>
      </c>
      <c r="B83" s="1" t="s">
        <v>91</v>
      </c>
      <c r="C83" s="1" t="s">
        <v>91</v>
      </c>
      <c r="D83" s="1" t="s">
        <v>91</v>
      </c>
      <c r="E83" s="1" t="s">
        <v>91</v>
      </c>
      <c r="F83" s="1" t="s">
        <v>91</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c r="AT83" s="72" t="s">
        <v>125</v>
      </c>
      <c r="AU83" s="73"/>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T84" s="74" t="s">
        <v>126</v>
      </c>
      <c r="AU84" s="74"/>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T85" s="48" t="s">
        <v>127</v>
      </c>
      <c r="AU85" s="49">
        <f>AM17</f>
        <v>378000000</v>
      </c>
    </row>
    <row r="86" spans="1:47" ht="20" x14ac:dyDescent="0.25">
      <c r="A86" s="5" t="s">
        <v>72</v>
      </c>
      <c r="B86" s="1" t="s">
        <v>91</v>
      </c>
      <c r="C86" s="1" t="s">
        <v>91</v>
      </c>
      <c r="D86" s="1" t="s">
        <v>91</v>
      </c>
      <c r="E86" s="1" t="s">
        <v>91</v>
      </c>
      <c r="F86" s="1" t="s">
        <v>91</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T86" s="48" t="s">
        <v>128</v>
      </c>
      <c r="AU86" s="49">
        <f>AM56</f>
        <v>1466000000</v>
      </c>
    </row>
    <row r="87" spans="1:47" ht="20" x14ac:dyDescent="0.25">
      <c r="A87" s="6" t="s">
        <v>73</v>
      </c>
      <c r="B87" s="10" t="s">
        <v>91</v>
      </c>
      <c r="C87" s="10" t="s">
        <v>91</v>
      </c>
      <c r="D87" s="10" t="s">
        <v>91</v>
      </c>
      <c r="E87" s="10" t="s">
        <v>91</v>
      </c>
      <c r="F87" s="10" t="s">
        <v>91</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T87" s="48" t="s">
        <v>129</v>
      </c>
      <c r="AU87" s="49">
        <f>AM61</f>
        <v>24318000000</v>
      </c>
    </row>
    <row r="88" spans="1:47" ht="20" x14ac:dyDescent="0.25">
      <c r="A88" s="5" t="s">
        <v>74</v>
      </c>
      <c r="B88" s="1" t="s">
        <v>91</v>
      </c>
      <c r="C88" s="1" t="s">
        <v>91</v>
      </c>
      <c r="D88" s="1" t="s">
        <v>91</v>
      </c>
      <c r="E88" s="1" t="s">
        <v>91</v>
      </c>
      <c r="F88" s="1" t="s">
        <v>91</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T88" s="50" t="s">
        <v>130</v>
      </c>
      <c r="AU88" s="51">
        <f>AU85/(AU86+AU87)</f>
        <v>1.4660254421346572E-2</v>
      </c>
    </row>
    <row r="89" spans="1:47" ht="20" customHeight="1" x14ac:dyDescent="0.25">
      <c r="A89" s="14" t="s">
        <v>104</v>
      </c>
      <c r="B89" s="15" t="e">
        <f t="shared" ref="B89:AM89" si="19">(-1*B88)/B3</f>
        <v>#VALUE!</v>
      </c>
      <c r="C89" s="15" t="e">
        <f t="shared" si="19"/>
        <v>#VALUE!</v>
      </c>
      <c r="D89" s="15" t="e">
        <f t="shared" si="19"/>
        <v>#VALUE!</v>
      </c>
      <c r="E89" s="15" t="e">
        <f t="shared" si="19"/>
        <v>#VALUE!</v>
      </c>
      <c r="F89" s="15" t="e">
        <f t="shared" si="19"/>
        <v>#VALUE!</v>
      </c>
      <c r="G89" s="15">
        <f t="shared" si="19"/>
        <v>0.14058925476603121</v>
      </c>
      <c r="H89" s="15">
        <f t="shared" si="19"/>
        <v>0.13734809288894237</v>
      </c>
      <c r="I89" s="15">
        <f t="shared" si="19"/>
        <v>0.18292969668469317</v>
      </c>
      <c r="J89" s="15">
        <f t="shared" si="19"/>
        <v>0.18251835004652125</v>
      </c>
      <c r="K89" s="15">
        <f t="shared" si="19"/>
        <v>0.12852001799370222</v>
      </c>
      <c r="L89" s="15">
        <f t="shared" si="19"/>
        <v>0.10919818946007114</v>
      </c>
      <c r="M89" s="15">
        <f t="shared" si="19"/>
        <v>0.13741007194244603</v>
      </c>
      <c r="N89" s="15">
        <f t="shared" si="19"/>
        <v>0.15367869381173149</v>
      </c>
      <c r="O89" s="15">
        <f t="shared" si="19"/>
        <v>0.1194167852062589</v>
      </c>
      <c r="P89" s="15">
        <f t="shared" si="19"/>
        <v>9.21284857042005E-2</v>
      </c>
      <c r="Q89" s="15">
        <f t="shared" si="19"/>
        <v>0.11368015414258188</v>
      </c>
      <c r="R89" s="15">
        <f t="shared" si="19"/>
        <v>0.16590348714336034</v>
      </c>
      <c r="S89" s="15">
        <f t="shared" si="19"/>
        <v>0.1570061902082161</v>
      </c>
      <c r="T89" s="15">
        <f t="shared" si="19"/>
        <v>9.4423461453010449E-2</v>
      </c>
      <c r="U89" s="15">
        <f t="shared" si="19"/>
        <v>0.10812840247794256</v>
      </c>
      <c r="V89" s="15">
        <f t="shared" si="19"/>
        <v>0.11555721765145849</v>
      </c>
      <c r="W89" s="15">
        <f t="shared" si="19"/>
        <v>8.5593467483231267E-2</v>
      </c>
      <c r="X89" s="15">
        <f t="shared" si="19"/>
        <v>5.7990477353192529E-2</v>
      </c>
      <c r="Y89" s="15">
        <f t="shared" si="19"/>
        <v>4.4746398032095583E-2</v>
      </c>
      <c r="Z89" s="15">
        <f t="shared" si="19"/>
        <v>5.1529034026391009E-2</v>
      </c>
      <c r="AA89" s="15">
        <f t="shared" si="19"/>
        <v>5.5548242727392394E-2</v>
      </c>
      <c r="AB89" s="15">
        <f t="shared" si="19"/>
        <v>4.6317788562987974E-2</v>
      </c>
      <c r="AC89" s="15">
        <f t="shared" si="19"/>
        <v>4.3216363776177172E-2</v>
      </c>
      <c r="AD89" s="15">
        <f t="shared" si="19"/>
        <v>3.8745034221988224E-2</v>
      </c>
      <c r="AE89" s="15">
        <f t="shared" si="19"/>
        <v>4.4929396662387676E-2</v>
      </c>
      <c r="AF89" s="15">
        <f t="shared" si="19"/>
        <v>4.840308727195234E-2</v>
      </c>
      <c r="AG89" s="15">
        <f t="shared" si="19"/>
        <v>6.3231347289318299E-2</v>
      </c>
      <c r="AH89" s="15">
        <f t="shared" si="19"/>
        <v>6.8274602492479589E-2</v>
      </c>
      <c r="AI89" s="15">
        <f t="shared" si="19"/>
        <v>8.6165732220940525E-2</v>
      </c>
      <c r="AJ89" s="15">
        <f t="shared" si="19"/>
        <v>7.3200514665508393E-2</v>
      </c>
      <c r="AK89" s="15">
        <f t="shared" si="19"/>
        <v>4.5885652167063161E-2</v>
      </c>
      <c r="AL89" s="15">
        <f t="shared" si="19"/>
        <v>4.4992897727272725E-2</v>
      </c>
      <c r="AM89" s="15">
        <f t="shared" si="19"/>
        <v>6.8639307390621296E-2</v>
      </c>
      <c r="AT89" s="48" t="s">
        <v>105</v>
      </c>
      <c r="AU89" s="49">
        <f>AM27</f>
        <v>13537000000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t="s">
        <v>91</v>
      </c>
      <c r="AC90" s="1" t="s">
        <v>91</v>
      </c>
      <c r="AD90" s="1" t="s">
        <v>91</v>
      </c>
      <c r="AE90" s="1" t="s">
        <v>91</v>
      </c>
      <c r="AF90" s="1" t="s">
        <v>91</v>
      </c>
      <c r="AG90" s="1" t="s">
        <v>91</v>
      </c>
      <c r="AH90" s="1" t="s">
        <v>91</v>
      </c>
      <c r="AI90" s="1" t="s">
        <v>91</v>
      </c>
      <c r="AJ90" s="1" t="s">
        <v>91</v>
      </c>
      <c r="AK90" s="1" t="s">
        <v>91</v>
      </c>
      <c r="AL90" s="1">
        <v>-18283000000</v>
      </c>
      <c r="AM90" s="1">
        <v>-7075000000</v>
      </c>
      <c r="AT90" s="48" t="s">
        <v>19</v>
      </c>
      <c r="AU90" s="49">
        <f>AM25</f>
        <v>69062000000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-300744360</v>
      </c>
      <c r="S91" s="1" t="s">
        <v>91</v>
      </c>
      <c r="T91" s="1" t="s">
        <v>91</v>
      </c>
      <c r="U91" s="1" t="s">
        <v>91</v>
      </c>
      <c r="V91" s="1">
        <v>-1027548740</v>
      </c>
      <c r="W91" s="1" t="s">
        <v>91</v>
      </c>
      <c r="X91" s="1">
        <v>-542084000</v>
      </c>
      <c r="Y91" s="1" t="s">
        <v>91</v>
      </c>
      <c r="Z91" s="1" t="s">
        <v>91</v>
      </c>
      <c r="AA91" s="1">
        <v>-2913000000</v>
      </c>
      <c r="AB91" s="1" t="s">
        <v>91</v>
      </c>
      <c r="AC91" s="1">
        <v>-501000000</v>
      </c>
      <c r="AD91" s="1" t="s">
        <v>91</v>
      </c>
      <c r="AE91" s="1" t="s">
        <v>91</v>
      </c>
      <c r="AF91" s="1">
        <v>-3542000000</v>
      </c>
      <c r="AG91" s="1">
        <v>-643000000</v>
      </c>
      <c r="AH91" s="1">
        <v>-40000000</v>
      </c>
      <c r="AI91" s="1">
        <v>-248000000</v>
      </c>
      <c r="AJ91" s="1">
        <v>-350000000</v>
      </c>
      <c r="AK91" s="1" t="s">
        <v>91</v>
      </c>
      <c r="AL91" s="1">
        <v>-7113000000</v>
      </c>
      <c r="AM91" s="1">
        <v>-9735000000</v>
      </c>
      <c r="AT91" s="50" t="s">
        <v>131</v>
      </c>
      <c r="AU91" s="51">
        <f>AU89/AU90</f>
        <v>0.19601227882192812</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16708020</v>
      </c>
      <c r="S92" s="1" t="s">
        <v>91</v>
      </c>
      <c r="T92" s="1" t="s">
        <v>91</v>
      </c>
      <c r="U92" s="1">
        <v>1317074400</v>
      </c>
      <c r="V92" s="1" t="s">
        <v>91</v>
      </c>
      <c r="W92" s="1">
        <v>514204600</v>
      </c>
      <c r="X92" s="1" t="s">
        <v>91</v>
      </c>
      <c r="Y92" s="1">
        <v>465380400</v>
      </c>
      <c r="Z92" s="1" t="s">
        <v>91</v>
      </c>
      <c r="AA92" s="1" t="s">
        <v>91</v>
      </c>
      <c r="AB92" s="1" t="s">
        <v>91</v>
      </c>
      <c r="AC92" s="1" t="s">
        <v>91</v>
      </c>
      <c r="AD92" s="1">
        <v>840000000</v>
      </c>
      <c r="AE92" s="1">
        <v>2267000000</v>
      </c>
      <c r="AF92" s="1">
        <v>1532000000</v>
      </c>
      <c r="AG92" s="1">
        <v>2087000000</v>
      </c>
      <c r="AH92" s="1">
        <v>2082000000</v>
      </c>
      <c r="AI92" s="1">
        <v>178000000</v>
      </c>
      <c r="AJ92" s="1">
        <v>148000000</v>
      </c>
      <c r="AK92" s="1">
        <v>12000000</v>
      </c>
      <c r="AL92" s="1">
        <v>1172000000</v>
      </c>
      <c r="AM92" s="1">
        <v>6645000000</v>
      </c>
      <c r="AT92" s="50" t="s">
        <v>132</v>
      </c>
      <c r="AU92" s="51">
        <f>AU88*(1-AU91)</f>
        <v>1.1786664544109184E-2</v>
      </c>
    </row>
    <row r="93" spans="1:47" ht="19" x14ac:dyDescent="0.25">
      <c r="A93" s="5" t="s">
        <v>78</v>
      </c>
      <c r="B93" s="1" t="s">
        <v>91</v>
      </c>
      <c r="C93" s="1" t="s">
        <v>91</v>
      </c>
      <c r="D93" s="1" t="s">
        <v>91</v>
      </c>
      <c r="E93" s="1" t="s">
        <v>91</v>
      </c>
      <c r="F93" s="1" t="s">
        <v>91</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T93" s="74" t="s">
        <v>133</v>
      </c>
      <c r="AU93" s="74"/>
    </row>
    <row r="94" spans="1:47" ht="20" x14ac:dyDescent="0.25">
      <c r="A94" s="6" t="s">
        <v>79</v>
      </c>
      <c r="B94" s="10" t="s">
        <v>91</v>
      </c>
      <c r="C94" s="10" t="s">
        <v>91</v>
      </c>
      <c r="D94" s="10" t="s">
        <v>91</v>
      </c>
      <c r="E94" s="10" t="s">
        <v>91</v>
      </c>
      <c r="F94" s="10" t="s">
        <v>91</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T94" s="48" t="s">
        <v>134</v>
      </c>
      <c r="AU94" s="52">
        <f>[1]Treasuries!$C$8</f>
        <v>3.8539999999999998E-2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-507000000</v>
      </c>
      <c r="AC95" s="1">
        <v>-502000000</v>
      </c>
      <c r="AD95" s="1" t="s">
        <v>91</v>
      </c>
      <c r="AE95" s="1" t="s">
        <v>91</v>
      </c>
      <c r="AF95" s="1" t="s">
        <v>91</v>
      </c>
      <c r="AG95" s="1" t="s">
        <v>91</v>
      </c>
      <c r="AH95" s="1" t="s">
        <v>91</v>
      </c>
      <c r="AI95" s="1" t="s">
        <v>91</v>
      </c>
      <c r="AJ95" s="1">
        <v>-741000000</v>
      </c>
      <c r="AK95" s="1">
        <v>-950000000</v>
      </c>
      <c r="AL95" s="1">
        <v>-6689000000</v>
      </c>
      <c r="AM95" s="1">
        <v>-13623000000</v>
      </c>
      <c r="AT95" s="53" t="s">
        <v>135</v>
      </c>
      <c r="AU95" s="54" cm="1">
        <f t="array" ref="AU95">_FV(A1,"Beta")</f>
        <v>0.77180000000000004</v>
      </c>
    </row>
    <row r="96" spans="1:47" ht="20" x14ac:dyDescent="0.25">
      <c r="A96" s="5" t="s">
        <v>81</v>
      </c>
      <c r="B96" s="1" t="s">
        <v>91</v>
      </c>
      <c r="C96" s="1" t="s">
        <v>91</v>
      </c>
      <c r="D96" s="1" t="s">
        <v>91</v>
      </c>
      <c r="E96" s="1" t="s">
        <v>91</v>
      </c>
      <c r="F96" s="1" t="s">
        <v>91</v>
      </c>
      <c r="G96" s="1" t="s">
        <v>91</v>
      </c>
      <c r="H96" s="1">
        <v>1724376600</v>
      </c>
      <c r="I96" s="1">
        <v>17563000</v>
      </c>
      <c r="J96" s="1">
        <v>205209000</v>
      </c>
      <c r="K96" s="1" t="s">
        <v>91</v>
      </c>
      <c r="L96" s="1" t="s">
        <v>91</v>
      </c>
      <c r="M96" s="1" t="s">
        <v>91</v>
      </c>
      <c r="N96" s="1" t="s">
        <v>91</v>
      </c>
      <c r="O96" s="1">
        <v>29934394</v>
      </c>
      <c r="P96" s="1">
        <v>7393010</v>
      </c>
      <c r="Q96" s="1">
        <v>192508800</v>
      </c>
      <c r="R96" s="1">
        <v>33416040</v>
      </c>
      <c r="S96" s="1">
        <v>42466140</v>
      </c>
      <c r="T96" s="1">
        <v>17738100</v>
      </c>
      <c r="U96" s="1">
        <v>87804960</v>
      </c>
      <c r="V96" s="1">
        <v>208031340</v>
      </c>
      <c r="W96" s="1">
        <v>209072200</v>
      </c>
      <c r="X96" s="1">
        <v>240358000</v>
      </c>
      <c r="Y96" s="1">
        <v>294206000</v>
      </c>
      <c r="Z96" s="1" t="s">
        <v>91</v>
      </c>
      <c r="AA96" s="1">
        <v>678000000</v>
      </c>
      <c r="AB96" s="1" t="s">
        <v>91</v>
      </c>
      <c r="AC96" s="1" t="s">
        <v>91</v>
      </c>
      <c r="AD96" s="1" t="s">
        <v>91</v>
      </c>
      <c r="AE96" s="1" t="s">
        <v>91</v>
      </c>
      <c r="AF96" s="1" t="s">
        <v>91</v>
      </c>
      <c r="AG96" s="1" t="s">
        <v>91</v>
      </c>
      <c r="AH96" s="1" t="s">
        <v>91</v>
      </c>
      <c r="AI96" s="1" t="s">
        <v>91</v>
      </c>
      <c r="AJ96" s="1" t="s">
        <v>91</v>
      </c>
      <c r="AK96" s="1" t="s">
        <v>91</v>
      </c>
      <c r="AL96" s="1" t="s">
        <v>91</v>
      </c>
      <c r="AM96" s="1" t="s">
        <v>91</v>
      </c>
      <c r="AT96" s="48" t="s">
        <v>136</v>
      </c>
      <c r="AU96" s="55">
        <v>8.4000000000000005E-2</v>
      </c>
    </row>
    <row r="97" spans="1:48"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T97" s="50" t="s">
        <v>137</v>
      </c>
      <c r="AU97" s="51">
        <f>(AU94)+((AU95)*(AU96-AU94))</f>
        <v>7.362602800000001E-2</v>
      </c>
    </row>
    <row r="98" spans="1:48" ht="19" x14ac:dyDescent="0.25">
      <c r="A98" s="5" t="s">
        <v>83</v>
      </c>
      <c r="B98" s="1" t="s">
        <v>91</v>
      </c>
      <c r="C98" s="1" t="s">
        <v>91</v>
      </c>
      <c r="D98" s="1" t="s">
        <v>91</v>
      </c>
      <c r="E98" s="1" t="s">
        <v>91</v>
      </c>
      <c r="F98" s="1" t="s">
        <v>91</v>
      </c>
      <c r="G98" s="1" t="s">
        <v>91</v>
      </c>
      <c r="H98" s="1" t="s">
        <v>91</v>
      </c>
      <c r="I98" s="1" t="s">
        <v>91</v>
      </c>
      <c r="J98" s="1" t="s">
        <v>91</v>
      </c>
      <c r="K98" s="1" t="s">
        <v>91</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91</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T98" s="74" t="s">
        <v>138</v>
      </c>
      <c r="AU98" s="74"/>
      <c r="AV98" s="32" t="e" vm="2">
        <v>#VALUE!</v>
      </c>
    </row>
    <row r="99" spans="1:48" ht="20" x14ac:dyDescent="0.25">
      <c r="A99" s="5" t="s">
        <v>84</v>
      </c>
      <c r="B99" s="1" t="s">
        <v>91</v>
      </c>
      <c r="C99" s="1" t="s">
        <v>91</v>
      </c>
      <c r="D99" s="1" t="s">
        <v>91</v>
      </c>
      <c r="E99" s="1" t="s">
        <v>91</v>
      </c>
      <c r="F99" s="1" t="s">
        <v>91</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91</v>
      </c>
      <c r="AB99" s="1" t="s">
        <v>91</v>
      </c>
      <c r="AC99" s="1" t="s">
        <v>91</v>
      </c>
      <c r="AD99" s="1" t="s">
        <v>91</v>
      </c>
      <c r="AE99" s="1" t="s">
        <v>91</v>
      </c>
      <c r="AF99" s="1" t="s">
        <v>91</v>
      </c>
      <c r="AG99" s="1" t="s">
        <v>91</v>
      </c>
      <c r="AH99" s="1" t="s">
        <v>91</v>
      </c>
      <c r="AI99" s="1">
        <v>94000000</v>
      </c>
      <c r="AJ99" s="1" t="s">
        <v>91</v>
      </c>
      <c r="AK99" s="1">
        <v>5682000000</v>
      </c>
      <c r="AL99" s="1">
        <v>22160000000</v>
      </c>
      <c r="AM99" s="1">
        <v>11215000000</v>
      </c>
      <c r="AT99" s="48" t="s">
        <v>139</v>
      </c>
      <c r="AU99" s="49">
        <f>AU86+AU87</f>
        <v>25784000000</v>
      </c>
      <c r="AV99" s="32" t="s">
        <v>158</v>
      </c>
    </row>
    <row r="100" spans="1:48" ht="20" x14ac:dyDescent="0.25">
      <c r="A100" s="6" t="s">
        <v>85</v>
      </c>
      <c r="B100" s="10" t="s">
        <v>91</v>
      </c>
      <c r="C100" s="10" t="s">
        <v>91</v>
      </c>
      <c r="D100" s="10" t="s">
        <v>91</v>
      </c>
      <c r="E100" s="10" t="s">
        <v>91</v>
      </c>
      <c r="F100" s="10" t="s">
        <v>91</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T100" s="50" t="s">
        <v>140</v>
      </c>
      <c r="AU100" s="51">
        <f>AU99/AU103</f>
        <v>3.204042481646717E-2</v>
      </c>
      <c r="AV100" s="33">
        <v>0.15</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v>-106960600</v>
      </c>
      <c r="M101" s="1">
        <v>-124497329</v>
      </c>
      <c r="N101" s="1">
        <v>25333974</v>
      </c>
      <c r="O101" s="1" t="s">
        <v>91</v>
      </c>
      <c r="P101" s="1" t="s">
        <v>91</v>
      </c>
      <c r="Q101" s="1" t="s">
        <v>91</v>
      </c>
      <c r="R101" s="1">
        <v>-25062030</v>
      </c>
      <c r="S101" s="1">
        <v>-21233070</v>
      </c>
      <c r="T101" s="1">
        <v>-17738100</v>
      </c>
      <c r="U101" s="1">
        <v>-16463430</v>
      </c>
      <c r="V101" s="1">
        <v>151295520</v>
      </c>
      <c r="W101" s="1">
        <v>39554200</v>
      </c>
      <c r="X101" s="1">
        <v>-5114000</v>
      </c>
      <c r="Y101" s="1" t="s">
        <v>91</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T101" s="53" t="s">
        <v>141</v>
      </c>
      <c r="AU101" s="56" cm="1">
        <f t="array" ref="AU101">_FV(A1,"Market cap",TRUE)</f>
        <v>778949400000</v>
      </c>
      <c r="AV101" s="32">
        <f>AU101*AV100</f>
        <v>116842410000</v>
      </c>
    </row>
    <row r="102" spans="1:48"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T102" s="50" t="s">
        <v>142</v>
      </c>
      <c r="AU102" s="51">
        <f>AU101/AU103</f>
        <v>0.96795957518353282</v>
      </c>
    </row>
    <row r="103" spans="1:48" ht="20" x14ac:dyDescent="0.25">
      <c r="A103" s="5" t="s">
        <v>88</v>
      </c>
      <c r="B103" s="1" t="s">
        <v>91</v>
      </c>
      <c r="C103" s="1" t="s">
        <v>91</v>
      </c>
      <c r="D103" s="1" t="s">
        <v>91</v>
      </c>
      <c r="E103" s="1" t="s">
        <v>91</v>
      </c>
      <c r="F103" s="1" t="s">
        <v>91</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T103" s="50" t="s">
        <v>143</v>
      </c>
      <c r="AU103" s="57">
        <f>AU99+AU101</f>
        <v>804733400000</v>
      </c>
    </row>
    <row r="104" spans="1:48"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T104" s="74" t="s">
        <v>144</v>
      </c>
      <c r="AU104" s="74"/>
    </row>
    <row r="105" spans="1:48" ht="21" thickTop="1" x14ac:dyDescent="0.25">
      <c r="A105" s="14" t="s">
        <v>164</v>
      </c>
      <c r="B105" s="1" t="e">
        <f t="shared" ref="B105:AL105" si="20">(B22*(1-$AU$91))+B77+B88+B81</f>
        <v>#VALUE!</v>
      </c>
      <c r="C105" s="1" t="e">
        <f t="shared" si="20"/>
        <v>#VALUE!</v>
      </c>
      <c r="D105" s="1" t="e">
        <f t="shared" si="20"/>
        <v>#VALUE!</v>
      </c>
      <c r="E105" s="1" t="e">
        <f t="shared" si="20"/>
        <v>#VALUE!</v>
      </c>
      <c r="F105" s="1" t="e">
        <f t="shared" si="20"/>
        <v>#VALUE!</v>
      </c>
      <c r="G105" s="1">
        <f t="shared" si="20"/>
        <v>489727186.72497177</v>
      </c>
      <c r="H105" s="1">
        <f t="shared" si="20"/>
        <v>-216631108.20711827</v>
      </c>
      <c r="I105" s="1">
        <f t="shared" si="20"/>
        <v>-981040752.39277744</v>
      </c>
      <c r="J105" s="1">
        <f t="shared" si="20"/>
        <v>-579471572.63762951</v>
      </c>
      <c r="K105" s="1">
        <f t="shared" si="20"/>
        <v>841515589.34117174</v>
      </c>
      <c r="L105" s="1">
        <f t="shared" si="20"/>
        <v>1201879413.3648028</v>
      </c>
      <c r="M105" s="1">
        <f t="shared" si="20"/>
        <v>-191538136.82731438</v>
      </c>
      <c r="N105" s="1">
        <f t="shared" si="20"/>
        <v>171034548.27062654</v>
      </c>
      <c r="O105" s="1">
        <f t="shared" si="20"/>
        <v>755327656.74173927</v>
      </c>
      <c r="P105" s="1">
        <f t="shared" si="20"/>
        <v>2233797939.385335</v>
      </c>
      <c r="Q105" s="1">
        <f t="shared" si="20"/>
        <v>2994390197.5210686</v>
      </c>
      <c r="R105" s="1">
        <f t="shared" si="20"/>
        <v>189400219.94121265</v>
      </c>
      <c r="S105" s="1">
        <f t="shared" si="20"/>
        <v>1469085231.0332747</v>
      </c>
      <c r="T105" s="1">
        <f t="shared" si="20"/>
        <v>2990162969.5273819</v>
      </c>
      <c r="U105" s="1">
        <f t="shared" si="20"/>
        <v>4504988617.738699</v>
      </c>
      <c r="V105" s="1">
        <f t="shared" si="20"/>
        <v>4134832621.1412935</v>
      </c>
      <c r="W105" s="1">
        <f t="shared" si="20"/>
        <v>5128689009.9041443</v>
      </c>
      <c r="X105" s="1">
        <f t="shared" si="20"/>
        <v>6754481703.8892593</v>
      </c>
      <c r="Y105" s="1">
        <f t="shared" si="20"/>
        <v>9818175902.9335957</v>
      </c>
      <c r="Z105" s="1">
        <f t="shared" si="20"/>
        <v>11700948640.352148</v>
      </c>
      <c r="AA105" s="1">
        <f t="shared" si="20"/>
        <v>14576132040.774956</v>
      </c>
      <c r="AB105" s="1" t="e">
        <f t="shared" si="20"/>
        <v>#VALUE!</v>
      </c>
      <c r="AC105" s="1">
        <f t="shared" si="20"/>
        <v>23291734094.002491</v>
      </c>
      <c r="AD105" s="1">
        <f t="shared" si="20"/>
        <v>24615985303.06102</v>
      </c>
      <c r="AE105" s="1">
        <f t="shared" si="20"/>
        <v>25028144478.874058</v>
      </c>
      <c r="AF105" s="1">
        <f t="shared" si="20"/>
        <v>35330368885.928589</v>
      </c>
      <c r="AG105" s="1">
        <f t="shared" si="20"/>
        <v>31355733312.096382</v>
      </c>
      <c r="AH105" s="1">
        <f t="shared" si="20"/>
        <v>31290866742.926651</v>
      </c>
      <c r="AI105" s="1">
        <f t="shared" si="20"/>
        <v>28905811850.221542</v>
      </c>
      <c r="AJ105" s="1">
        <f t="shared" si="20"/>
        <v>35536687570.588753</v>
      </c>
      <c r="AK105" s="1">
        <f t="shared" si="20"/>
        <v>39091639396.484322</v>
      </c>
      <c r="AL105" s="1">
        <f t="shared" si="20"/>
        <v>38183055920.766853</v>
      </c>
      <c r="AM105" s="1">
        <f>(AM22*(1-$AU$91))+AM77+AM88+AM81</f>
        <v>50025517433.610382</v>
      </c>
      <c r="AN105" s="29">
        <f>AM105*(1+$AU$106)</f>
        <v>57760841301.723824</v>
      </c>
      <c r="AO105" s="29">
        <f t="shared" ref="AO105:AR105" si="21">AN105*(1+$AU$106)</f>
        <v>66692259451.600845</v>
      </c>
      <c r="AP105" s="29">
        <f t="shared" si="21"/>
        <v>77004721027.615982</v>
      </c>
      <c r="AQ105" s="29">
        <f t="shared" si="21"/>
        <v>88911773409.68959</v>
      </c>
      <c r="AR105" s="29">
        <f t="shared" si="21"/>
        <v>102659984288.76755</v>
      </c>
      <c r="AS105" s="30" t="s">
        <v>166</v>
      </c>
      <c r="AT105" s="58" t="s">
        <v>107</v>
      </c>
      <c r="AU105" s="59">
        <f>(AU100*AU92)+(AU102*AU97)</f>
        <v>7.1644668524493346E-2</v>
      </c>
    </row>
    <row r="106" spans="1:48" ht="19" x14ac:dyDescent="0.25">
      <c r="A106" s="14" t="s">
        <v>106</v>
      </c>
      <c r="B106" s="1"/>
      <c r="C106" s="15" t="e">
        <f t="shared" ref="C106:AM106" si="22">(C107/B107)-1</f>
        <v>#VALUE!</v>
      </c>
      <c r="D106" s="15" t="e">
        <f t="shared" si="22"/>
        <v>#VALUE!</v>
      </c>
      <c r="E106" s="15" t="e">
        <f t="shared" si="22"/>
        <v>#VALUE!</v>
      </c>
      <c r="F106" s="15" t="e">
        <f t="shared" si="22"/>
        <v>#VALUE!</v>
      </c>
      <c r="G106" s="15" t="e">
        <f t="shared" si="22"/>
        <v>#VALUE!</v>
      </c>
      <c r="H106" s="15">
        <f t="shared" si="22"/>
        <v>-1.4923508615631733</v>
      </c>
      <c r="I106" s="15">
        <f t="shared" si="22"/>
        <v>2.8101263736314053</v>
      </c>
      <c r="J106" s="15">
        <f t="shared" si="22"/>
        <v>-0.21937066760666624</v>
      </c>
      <c r="K106" s="15">
        <f t="shared" si="22"/>
        <v>-2.8996513352278264</v>
      </c>
      <c r="L106" s="15">
        <f t="shared" si="22"/>
        <v>0.11557009173442379</v>
      </c>
      <c r="M106" s="15">
        <f t="shared" si="22"/>
        <v>-1.1223123280708309</v>
      </c>
      <c r="N106" s="15">
        <f t="shared" si="22"/>
        <v>-4.3398941240330196</v>
      </c>
      <c r="O106" s="15">
        <f t="shared" si="22"/>
        <v>2.1695874794635279</v>
      </c>
      <c r="P106" s="15">
        <f t="shared" si="22"/>
        <v>0.27193254100034836</v>
      </c>
      <c r="Q106" s="15">
        <f t="shared" si="22"/>
        <v>0.70293243506219127</v>
      </c>
      <c r="R106" s="15">
        <f t="shared" si="22"/>
        <v>-0.8701742149232512</v>
      </c>
      <c r="S106" s="15">
        <f t="shared" si="22"/>
        <v>1.4663535236371517</v>
      </c>
      <c r="T106" s="15">
        <f t="shared" si="22"/>
        <v>2.9538000381998097</v>
      </c>
      <c r="U106" s="15">
        <f t="shared" si="22"/>
        <v>0.22304824715743088</v>
      </c>
      <c r="V106" s="15">
        <f t="shared" si="22"/>
        <v>7.1392679674461945E-2</v>
      </c>
      <c r="W106" s="15">
        <f t="shared" si="22"/>
        <v>-7.8942953998839882E-2</v>
      </c>
      <c r="X106" s="15">
        <f t="shared" si="22"/>
        <v>0.710669498405192</v>
      </c>
      <c r="Y106" s="15">
        <f t="shared" si="22"/>
        <v>0.4339976640700145</v>
      </c>
      <c r="Z106" s="15">
        <f t="shared" si="22"/>
        <v>0.13446994943615942</v>
      </c>
      <c r="AA106" s="15">
        <f t="shared" si="22"/>
        <v>0.28173475188824826</v>
      </c>
      <c r="AB106" s="15">
        <f t="shared" si="22"/>
        <v>0.14320111519452539</v>
      </c>
      <c r="AC106" s="15">
        <f t="shared" si="22"/>
        <v>3.048442523001893E-2</v>
      </c>
      <c r="AD106" s="15">
        <f t="shared" si="22"/>
        <v>0.19933304647160077</v>
      </c>
      <c r="AE106" s="15">
        <f t="shared" si="22"/>
        <v>0.22688133464884741</v>
      </c>
      <c r="AF106" s="15">
        <f t="shared" si="22"/>
        <v>0.16536900975984214</v>
      </c>
      <c r="AG106" s="15">
        <f t="shared" si="22"/>
        <v>0.25614002070198549</v>
      </c>
      <c r="AH106" s="15">
        <f t="shared" si="22"/>
        <v>-0.18795415386920367</v>
      </c>
      <c r="AI106" s="15">
        <f t="shared" si="22"/>
        <v>-9.6555965559655954E-3</v>
      </c>
      <c r="AJ106" s="15">
        <f t="shared" si="22"/>
        <v>0.1038626342917468</v>
      </c>
      <c r="AK106" s="15">
        <f t="shared" si="22"/>
        <v>-0.15979859919552197</v>
      </c>
      <c r="AL106" s="15">
        <f t="shared" si="22"/>
        <v>0.59407432206226973</v>
      </c>
      <c r="AM106" s="15">
        <f t="shared" si="22"/>
        <v>0.34692848892155825</v>
      </c>
      <c r="AN106" s="39">
        <v>70603000000</v>
      </c>
      <c r="AO106" s="39">
        <v>82481000000</v>
      </c>
      <c r="AP106" s="39">
        <v>95000000000</v>
      </c>
      <c r="AQ106" s="39">
        <v>110700000000</v>
      </c>
      <c r="AR106" s="39">
        <v>131700000000</v>
      </c>
      <c r="AS106" s="30" t="s">
        <v>167</v>
      </c>
      <c r="AT106" s="60" t="s">
        <v>145</v>
      </c>
      <c r="AU106" s="61">
        <f>(SUM(AN4:AR4)/5)</f>
        <v>0.15462756339060574</v>
      </c>
    </row>
    <row r="107" spans="1:48" ht="19" x14ac:dyDescent="0.25">
      <c r="A107" s="38" t="s">
        <v>165</v>
      </c>
      <c r="B107" s="1" t="s">
        <v>91</v>
      </c>
      <c r="C107" s="1" t="s">
        <v>91</v>
      </c>
      <c r="D107" s="1" t="s">
        <v>91</v>
      </c>
      <c r="E107" s="1" t="s">
        <v>91</v>
      </c>
      <c r="F107" s="1" t="s">
        <v>91</v>
      </c>
      <c r="G107" s="1">
        <v>332697600</v>
      </c>
      <c r="H107" s="1">
        <v>-163803950</v>
      </c>
      <c r="I107" s="1">
        <v>-624113750</v>
      </c>
      <c r="J107" s="1">
        <v>-487201500</v>
      </c>
      <c r="K107" s="1">
        <v>925512980</v>
      </c>
      <c r="L107" s="1">
        <v>1032474600</v>
      </c>
      <c r="M107" s="1">
        <v>-126284372</v>
      </c>
      <c r="N107" s="1">
        <v>421776432</v>
      </c>
      <c r="O107" s="1">
        <v>1336857298</v>
      </c>
      <c r="P107" s="1">
        <v>1700392300</v>
      </c>
      <c r="Q107" s="1">
        <v>2895653200</v>
      </c>
      <c r="R107" s="1">
        <v>375930450</v>
      </c>
      <c r="S107" s="1">
        <v>927177390</v>
      </c>
      <c r="T107" s="1">
        <v>3665874000</v>
      </c>
      <c r="U107" s="1">
        <v>4483540770</v>
      </c>
      <c r="V107" s="1">
        <v>4803632760</v>
      </c>
      <c r="W107" s="1">
        <v>4424419800</v>
      </c>
      <c r="X107" s="1">
        <v>7568720000</v>
      </c>
      <c r="Y107" s="1">
        <v>10853526800</v>
      </c>
      <c r="Z107" s="1">
        <v>12313000000</v>
      </c>
      <c r="AA107" s="1">
        <v>15782000000</v>
      </c>
      <c r="AB107" s="1">
        <v>18042000000</v>
      </c>
      <c r="AC107" s="1">
        <v>18592000000</v>
      </c>
      <c r="AD107" s="1">
        <v>22298000000</v>
      </c>
      <c r="AE107" s="1">
        <v>27357000000</v>
      </c>
      <c r="AF107" s="1">
        <v>31881000000</v>
      </c>
      <c r="AG107" s="1">
        <v>40047000000</v>
      </c>
      <c r="AH107" s="1">
        <v>32520000000</v>
      </c>
      <c r="AI107" s="1">
        <v>32206000000</v>
      </c>
      <c r="AJ107" s="1">
        <v>35551000000</v>
      </c>
      <c r="AK107" s="1">
        <v>29870000000</v>
      </c>
      <c r="AL107" s="1">
        <v>47615000000</v>
      </c>
      <c r="AM107" s="1">
        <v>64134000000</v>
      </c>
      <c r="AN107" s="30"/>
      <c r="AO107" s="30"/>
      <c r="AP107" s="30"/>
      <c r="AQ107" s="30"/>
      <c r="AR107" s="47">
        <f>AR106*(1+AU107)/(AU108-AU107)</f>
        <v>2894060656238.0171</v>
      </c>
      <c r="AS107" s="31" t="s">
        <v>146</v>
      </c>
      <c r="AT107" s="62" t="s">
        <v>147</v>
      </c>
      <c r="AU107" s="63">
        <v>2.5000000000000001E-2</v>
      </c>
    </row>
    <row r="108" spans="1:48" ht="19" x14ac:dyDescent="0.25">
      <c r="AN108" s="47">
        <f t="shared" ref="AN108:AQ108" si="23">AN107+AN106</f>
        <v>70603000000</v>
      </c>
      <c r="AO108" s="47">
        <f t="shared" si="23"/>
        <v>82481000000</v>
      </c>
      <c r="AP108" s="47">
        <f t="shared" si="23"/>
        <v>95000000000</v>
      </c>
      <c r="AQ108" s="47">
        <f t="shared" si="23"/>
        <v>110700000000</v>
      </c>
      <c r="AR108" s="47">
        <f>AR107+AR106</f>
        <v>3025760656238.0171</v>
      </c>
      <c r="AS108" s="31" t="s">
        <v>143</v>
      </c>
      <c r="AT108" s="64" t="s">
        <v>148</v>
      </c>
      <c r="AU108" s="61">
        <f>AU105</f>
        <v>7.1644668524493346E-2</v>
      </c>
    </row>
    <row r="109" spans="1:48" ht="19" x14ac:dyDescent="0.25">
      <c r="AN109" s="71" t="s">
        <v>149</v>
      </c>
      <c r="AO109" s="71"/>
    </row>
    <row r="110" spans="1:48" ht="20" x14ac:dyDescent="0.25">
      <c r="AN110" s="65" t="s">
        <v>150</v>
      </c>
      <c r="AO110" s="56">
        <f>NPV(AU108,AN108,AO108,AP108,AQ108,AR108)</f>
        <v>2439652911534.3657</v>
      </c>
    </row>
    <row r="111" spans="1:48" ht="20" x14ac:dyDescent="0.25">
      <c r="AN111" s="65" t="s">
        <v>151</v>
      </c>
      <c r="AO111" s="56">
        <f>AM40</f>
        <v>23574000000</v>
      </c>
    </row>
    <row r="112" spans="1:48" ht="20" x14ac:dyDescent="0.25">
      <c r="AN112" s="65" t="s">
        <v>139</v>
      </c>
      <c r="AO112" s="56">
        <f>AU99</f>
        <v>25784000000</v>
      </c>
    </row>
    <row r="113" spans="40:41" ht="20" x14ac:dyDescent="0.25">
      <c r="AN113" s="65" t="s">
        <v>152</v>
      </c>
      <c r="AO113" s="56">
        <f>AO110+AO111-AO112</f>
        <v>2437442911534.3657</v>
      </c>
    </row>
    <row r="114" spans="40:41" ht="20" x14ac:dyDescent="0.25">
      <c r="AN114" s="65" t="s">
        <v>153</v>
      </c>
      <c r="AO114" s="65">
        <f>AM34*(1+(5*AS16))</f>
        <v>2077366469.8762372</v>
      </c>
    </row>
    <row r="115" spans="40:41" ht="20" x14ac:dyDescent="0.25">
      <c r="AN115" s="66" t="s">
        <v>154</v>
      </c>
      <c r="AO115" s="67">
        <f>AO113/AO114*AV100</f>
        <v>175.99997016989354</v>
      </c>
    </row>
    <row r="116" spans="40:41" ht="20" x14ac:dyDescent="0.25">
      <c r="AN116" s="65" t="s">
        <v>155</v>
      </c>
      <c r="AO116" s="68" cm="1">
        <f t="array" ref="AO116">_FV(AV98,"Price")</f>
        <v>161.83000000000001</v>
      </c>
    </row>
    <row r="117" spans="40:41" ht="20" x14ac:dyDescent="0.25">
      <c r="AN117" s="66" t="s">
        <v>156</v>
      </c>
      <c r="AO117" s="69">
        <f>AO115/AO116-1</f>
        <v>8.7560836494429584E-2</v>
      </c>
    </row>
    <row r="118" spans="40:41" ht="20" x14ac:dyDescent="0.25">
      <c r="AN118" s="66" t="s">
        <v>157</v>
      </c>
      <c r="AO118" s="70" t="str">
        <f>IF(AO115&gt;AO116,"BUY","SELL")</f>
        <v>BUY</v>
      </c>
    </row>
  </sheetData>
  <mergeCells count="6">
    <mergeCell ref="AN109:AO109"/>
    <mergeCell ref="AT83:AU83"/>
    <mergeCell ref="AT84:AU84"/>
    <mergeCell ref="AT93:AU93"/>
    <mergeCell ref="AT98:AU98"/>
    <mergeCell ref="AT104:AU10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LSE:0QIU/explorer/revenue_proj" xr:uid="{EF63146E-FF0E-094E-820B-2E4BDF0ACBC8}"/>
    <hyperlink ref="AS106" r:id="rId79" xr:uid="{2B3EE0AD-F45A-9344-B2CA-26AF82D62DD5}"/>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2023-03-14T05:50:53Z</dcterms:created>
  <dcterms:modified xsi:type="dcterms:W3CDTF">2023-07-01T08:31:06Z</dcterms:modified>
</cp:coreProperties>
</file>