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689BBC9-CC94-AC46-9315-5F7D87EE7A7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4" i="1" l="1"/>
  <c r="AA108" i="1"/>
  <c r="AB108" i="1"/>
  <c r="AC108" i="1"/>
  <c r="AD108" i="1"/>
  <c r="AB105" i="1"/>
  <c r="AC105" i="1" s="1"/>
  <c r="AD105" i="1" s="1"/>
  <c r="AE105" i="1" s="1"/>
  <c r="A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30" i="1"/>
  <c r="AC30" i="1"/>
  <c r="AD30" i="1"/>
  <c r="AE30" i="1"/>
  <c r="AA30" i="1"/>
  <c r="AA29" i="1"/>
  <c r="AB29" i="1"/>
  <c r="AC29" i="1"/>
  <c r="AD29" i="1"/>
  <c r="AE29" i="1"/>
  <c r="AB21" i="1"/>
  <c r="AC21" i="1"/>
  <c r="AD21" i="1"/>
  <c r="AE21" i="1"/>
  <c r="AA21" i="1"/>
  <c r="AA20" i="1"/>
  <c r="AB20" i="1"/>
  <c r="AC20" i="1"/>
  <c r="AD20" i="1"/>
  <c r="AE20" i="1"/>
  <c r="AB116" i="1" a="1"/>
  <c r="AB116" i="1" s="1"/>
  <c r="AH19" i="1" s="1"/>
  <c r="AH95" i="1" a="1"/>
  <c r="AH95" i="1" s="1"/>
  <c r="AH101" i="1" a="1"/>
  <c r="AH101" i="1" s="1"/>
  <c r="AB114" i="1"/>
  <c r="AF19" i="1"/>
  <c r="AF16" i="1"/>
  <c r="AI13" i="1"/>
  <c r="AH13" i="1"/>
  <c r="AG13" i="1"/>
  <c r="AF13" i="1"/>
  <c r="AI10" i="1"/>
  <c r="AH10" i="1"/>
  <c r="AG10" i="1"/>
  <c r="AF10" i="1"/>
  <c r="AI7" i="1"/>
  <c r="AH7" i="1"/>
  <c r="AG7" i="1"/>
  <c r="AF7"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G19" i="1" l="1"/>
  <c r="AH22" i="1"/>
  <c r="AI22" i="1"/>
  <c r="AH97" i="1"/>
  <c r="AI19" i="1"/>
  <c r="AG16" i="1"/>
  <c r="AI16" i="1"/>
  <c r="AH16" i="1"/>
  <c r="AH92" i="1"/>
  <c r="AH106" i="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<sst xmlns="http://schemas.openxmlformats.org/spreadsheetml/2006/main" count="707" uniqueCount="167">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</sst>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164" fontId="1" fillId="5" borderId="8" xfId="0" applyNumberFormat="1" applyFont="1" applyFill="1" applyBorder="1" applyAlignment="1">
      <alignment wrapText="1"/>
    </xf>
    <xf numFmtId="164" fontId="1" fillId="5" borderId="9" xfId="0" applyNumberFormat="1" applyFont="1" applyFill="1" applyBorder="1"/>
    <xf numFmtId="164" fontId="1" fillId="3" borderId="8" xfId="0" applyNumberFormat="1" applyFont="1" applyFill="1" applyBorder="1" applyAlignment="1">
      <alignment wrapText="1"/>
    </xf>
    <xf numFmtId="167" fontId="12" fillId="3" borderId="9" xfId="0" applyNumberFormat="1" applyFont="1" applyFill="1" applyBorder="1"/>
    <xf numFmtId="164" fontId="1" fillId="3" borderId="6" xfId="0" applyNumberFormat="1" applyFont="1" applyFill="1" applyBorder="1" applyAlignment="1">
      <alignment wrapText="1"/>
    </xf>
    <xf numFmtId="9" fontId="12" fillId="3" borderId="7" xfId="1" applyFont="1" applyFill="1" applyBorder="1"/>
    <xf numFmtId="0" fontId="12" fillId="3" borderId="7" xfId="0" applyFont="1" applyFill="1" applyBorder="1" applyAlignment="1">
      <alignment horizontal="right"/>
    </xf>
    <xf numFmtId="0" fontId="12" fillId="7" borderId="12"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13" xfId="0" applyNumberFormat="1" applyFont="1" applyBorder="1" applyAlignment="1">
      <alignment horizontal="center"/>
    </xf>
    <xf numFmtId="9" fontId="11" fillId="0" borderId="7" xfId="0" applyNumberFormat="1" applyFont="1" applyBorder="1" applyAlignment="1">
      <alignment horizontal="center"/>
    </xf>
    <xf numFmtId="164" fontId="1" fillId="0" borderId="12" xfId="0" applyNumberFormat="1" applyFont="1" applyBorder="1" applyAlignment="1">
      <alignment horizontal="center"/>
    </xf>
    <xf numFmtId="164" fontId="1" fillId="5" borderId="9" xfId="0" applyNumberFormat="1" applyFont="1" applyFill="1" applyBorder="1" applyAlignment="1">
      <alignment wrapText="1"/>
    </xf>
    <xf numFmtId="167" fontId="1" fillId="5" borderId="9"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0" fontId="17" fillId="0" borderId="0" xfId="0" applyFont="1"/>
    <xf numFmtId="164" fontId="13" fillId="0" borderId="3" xfId="0" applyNumberFormat="1" applyFont="1" applyBorder="1"/>
    <xf numFmtId="168" fontId="11" fillId="0" borderId="7" xfId="0" applyNumberFormat="1" applyFont="1" applyBorder="1" applyAlignment="1">
      <alignment horizontal="center"/>
    </xf>
    <xf numFmtId="168" fontId="11" fillId="0" borderId="6" xfId="0" applyNumberFormat="1" applyFont="1" applyBorder="1" applyAlignment="1">
      <alignment horizontal="center"/>
    </xf>
    <xf numFmtId="168" fontId="11" fillId="0" borderId="13" xfId="0" applyNumberFormat="1" applyFont="1" applyBorder="1" applyAlignment="1">
      <alignment horizontal="center"/>
    </xf>
    <xf numFmtId="168" fontId="11" fillId="0" borderId="12" xfId="0" applyNumberFormat="1" applyFont="1" applyBorder="1" applyAlignment="1">
      <alignment horizontal="center"/>
    </xf>
    <xf numFmtId="0" fontId="1" fillId="0" borderId="0" xfId="0" applyFont="1" applyAlignment="1">
      <alignment indent="1"/>
    </xf>
    <xf numFmtId="169" fontId="11" fillId="0" borderId="13" xfId="0" applyNumberFormat="1" applyFont="1" applyBorder="1" applyAlignment="1">
      <alignment horizontal="center"/>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 fillId="3" borderId="10" xfId="0" applyFont="1" applyFill="1" applyBorder="1" applyAlignment="1">
      <alignment horizontal="center"/>
    </xf>
    <xf numFmtId="0" fontId="1" fillId="3" borderId="11" xfId="0" applyFont="1" applyFill="1" applyBorder="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Nvidia</a:t>
            </a:r>
          </a:p>
        </c:rich>
      </c:tx>
      <c:layout>
        <c:manualLayout>
          <c:xMode val="edge"/>
          <c:yMode val="edge"/>
          <c:x val="0.45186226319659389"/>
          <c:y val="2.80254777070063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160170740727073E-2"/>
          <c:y val="0.1331083805607102"/>
          <c:w val="0.86925468758146107"/>
          <c:h val="0.697227343397361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050500047111905"/>
          <c:y val="0.91088239129344506"/>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10583</xdr:colOff>
      <xdr:row>108</xdr:row>
      <xdr:rowOff>15875</xdr:rowOff>
    </xdr:from>
    <xdr:to>
      <xdr:col>33</xdr:col>
      <xdr:colOff>1449917</xdr:colOff>
      <xdr:row>128</xdr:row>
      <xdr:rowOff>0</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439.9</v>
    <v>108.13</v>
    <v>1.742</v>
    <v>14.8</v>
    <v>3.6255000000000003E-2</v>
    <v>-0.09</v>
    <v>-2.128E-4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425.5</v>
    <v>Semiconductors &amp; Semiconductor Equipment</v>
    <v>Stock</v>
    <v>45107.999993425779</v>
    <v>0</v>
    <v>415.01</v>
    <v>1044859000000</v>
    <v>NVIDIA CORPORATION</v>
    <v>NVIDIA CORPORATION</v>
    <v>416.8</v>
    <v>212.15379999999999</v>
    <v>408.22</v>
    <v>423.02</v>
    <v>422.93</v>
    <v>2470000000</v>
    <v>NVDA</v>
    <v>NVIDIA CORPORATION (XNAS:NVDA)</v>
    <v>50114775</v>
    <v>59730334</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X3" activePane="bottomRight" state="frozen"/>
      <selection pane="topRight"/>
      <selection pane="bottomLeft"/>
      <selection pane="bottomRight" activeCell="AD12" sqref="AD12"/>
    </sheetView>
  </sheetViews>
  <sheetFormatPr baseColWidth="10" defaultRowHeight="16" x14ac:dyDescent="0.2"/>
  <cols>
    <col min="1" max="1" width="50" customWidth="1"/>
    <col min="2" max="26" width="15" customWidth="1"/>
    <col min="27" max="34" width="21" customWidth="1"/>
    <col min="35"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42514000000</v>
      </c>
      <c r="AB3" s="21">
        <v>52198000000</v>
      </c>
      <c r="AC3" s="21">
        <v>63545000000</v>
      </c>
      <c r="AD3" s="21">
        <v>81782000000</v>
      </c>
      <c r="AE3" s="21">
        <v>103900000000</v>
      </c>
      <c r="AF3" s="32" t="s">
        <v>108</v>
      </c>
      <c r="AG3" s="33" t="s">
        <v>109</v>
      </c>
      <c r="AH3" s="33" t="s">
        <v>110</v>
      </c>
      <c r="AI3" s="33" t="s">
        <v>111</v>
      </c>
    </row>
    <row r="4" spans="1:38" ht="19" x14ac:dyDescent="0.25">
      <c r="A4" s="14" t="s">
        <v>93</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0.57611032846444732</v>
      </c>
      <c r="AB4" s="16">
        <f t="shared" si="12"/>
        <v>0.22778378886954886</v>
      </c>
      <c r="AC4" s="16">
        <f t="shared" si="12"/>
        <v>0.21738380780872824</v>
      </c>
      <c r="AD4" s="16">
        <f t="shared" si="12"/>
        <v>0.28699346919505864</v>
      </c>
      <c r="AE4" s="16">
        <f t="shared" si="12"/>
        <v>0.27045071042527691</v>
      </c>
      <c r="AF4" s="34">
        <f>(Z4+Y4+X4)/3</f>
        <v>0.38118556093218037</v>
      </c>
      <c r="AG4" s="34">
        <f>(Z20+Y20+X20)/3</f>
        <v>0.40909729531125477</v>
      </c>
      <c r="AH4" s="34">
        <f>(Z29+Y29+X29)/3</f>
        <v>0.41613951529322118</v>
      </c>
      <c r="AI4" s="3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32" t="s">
        <v>112</v>
      </c>
      <c r="AG6" s="33" t="s">
        <v>113</v>
      </c>
      <c r="AH6" s="33" t="s">
        <v>114</v>
      </c>
      <c r="AI6" s="33"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34">
        <f>Z7</f>
        <v>0.56930000000000003</v>
      </c>
      <c r="AG7" s="35">
        <f>Z21</f>
        <v>0.23580000000000001</v>
      </c>
      <c r="AH7" s="35">
        <f>Z30</f>
        <v>0.16189999999999999</v>
      </c>
      <c r="AI7" s="35">
        <f>Z107/Z3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32" t="s">
        <v>95</v>
      </c>
      <c r="AG9" s="33" t="s">
        <v>96</v>
      </c>
      <c r="AH9" s="33" t="s">
        <v>97</v>
      </c>
      <c r="AI9" s="3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34">
        <f>Z9</f>
        <v>0.27207681471046191</v>
      </c>
      <c r="AG10" s="35">
        <f>Z13</f>
        <v>9.0457477570994288E-2</v>
      </c>
      <c r="AH10" s="35">
        <f>Z80</f>
        <v>0.10043004374582931</v>
      </c>
      <c r="AI10" s="3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32" t="s">
        <v>116</v>
      </c>
      <c r="AG12" s="33" t="s">
        <v>117</v>
      </c>
      <c r="AH12" s="33" t="s">
        <v>118</v>
      </c>
      <c r="AI12" s="33" t="s">
        <v>119</v>
      </c>
    </row>
    <row r="13" spans="1:38" ht="19" x14ac:dyDescent="0.25">
      <c r="A13" s="14" t="s">
        <v>99</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34">
        <f>Z28/Z72</f>
        <v>0.19763811592235644</v>
      </c>
      <c r="AG13" s="35">
        <f>Z28/Z54</f>
        <v>0.10606575688407557</v>
      </c>
      <c r="AH13" s="35">
        <f>Z22/(Z72+Z56+Z61)</f>
        <v>0.12439627753563436</v>
      </c>
      <c r="AI13" s="46">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32" t="s">
        <v>120</v>
      </c>
      <c r="AG15" s="33" t="s">
        <v>153</v>
      </c>
      <c r="AH15" s="33" t="s">
        <v>154</v>
      </c>
      <c r="AI15" s="3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47">
        <f>AH101/Z3</f>
        <v>38.735782605471933</v>
      </c>
      <c r="AH16" s="47">
        <f>AH101/Z28</f>
        <v>239.20764652014651</v>
      </c>
      <c r="AI16" s="48">
        <f>AH101/Z107</f>
        <v>274.38524159663865</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32" t="s">
        <v>156</v>
      </c>
      <c r="AG18" s="33" t="s">
        <v>158</v>
      </c>
      <c r="AH18" s="33" t="s">
        <v>159</v>
      </c>
      <c r="AI18" s="3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39">
        <v>19383000000</v>
      </c>
      <c r="AB19" s="39">
        <v>17035000000</v>
      </c>
      <c r="AC19" s="39">
        <v>19737000000</v>
      </c>
      <c r="AD19" s="39">
        <v>33545000000</v>
      </c>
      <c r="AE19" s="39">
        <v>39326000000</v>
      </c>
      <c r="AF19" s="36">
        <f>Z40-Z56-Z61</f>
        <v>1441000000</v>
      </c>
      <c r="AG19" s="47">
        <f>AH101/AA3</f>
        <v>24.576821752834359</v>
      </c>
      <c r="AH19" s="47">
        <f>AB116/AA31</f>
        <v>55.224543080939945</v>
      </c>
      <c r="AI19" s="49">
        <f>AH101/AA105</f>
        <v>271.02362547778381</v>
      </c>
    </row>
    <row r="20" spans="1:35" ht="19" customHeight="1" x14ac:dyDescent="0.25">
      <c r="A20" s="14" t="s">
        <v>100</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A20" s="16">
        <f t="shared" ref="AA20" si="33">(AA19/Z19)-1</f>
        <v>2.0471623958497092</v>
      </c>
      <c r="AB20" s="16">
        <f t="shared" ref="AB20" si="34">(AB19/AA19)-1</f>
        <v>-0.12113707888355774</v>
      </c>
      <c r="AC20" s="16">
        <f t="shared" ref="AC20" si="35">(AC19/AB19)-1</f>
        <v>0.15861461696507195</v>
      </c>
      <c r="AD20" s="16">
        <f t="shared" ref="AD20" si="36">(AD19/AC19)-1</f>
        <v>0.69959973653544094</v>
      </c>
      <c r="AE20" s="16">
        <f t="shared" ref="AE20" si="37">(AE19/AD19)-1</f>
        <v>0.17233566850499327</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40">
        <f>AA19/AA3</f>
        <v>0.4559204026908783</v>
      </c>
      <c r="AB21" s="40">
        <f t="shared" ref="AB21:AE21" si="38">AB19/AB3</f>
        <v>0.32635350013410475</v>
      </c>
      <c r="AC21" s="40">
        <f t="shared" si="38"/>
        <v>0.31059878826028797</v>
      </c>
      <c r="AD21" s="40">
        <f t="shared" si="38"/>
        <v>0.41017583331295393</v>
      </c>
      <c r="AE21" s="40">
        <f t="shared" si="38"/>
        <v>0.37849855630413859</v>
      </c>
      <c r="AH21" s="32" t="s">
        <v>165</v>
      </c>
      <c r="AI21" s="3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44"/>
      <c r="AB22" s="44"/>
      <c r="AC22" s="44"/>
      <c r="AD22" s="44"/>
      <c r="AE22" s="44"/>
      <c r="AH22" s="51">
        <f>(-1*Z98)/AH101</f>
        <v>3.8091263988729578E-4</v>
      </c>
      <c r="AI22" s="52">
        <f>Z107/AH101</f>
        <v>3.6445108861578451E-3</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44"/>
      <c r="AB23" s="44"/>
      <c r="AC23" s="44"/>
      <c r="AD23" s="44"/>
      <c r="AE23" s="44"/>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44"/>
      <c r="AB24" s="44"/>
      <c r="AC24" s="44"/>
      <c r="AD24" s="44"/>
      <c r="AE24" s="44"/>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44"/>
      <c r="AB25" s="44"/>
      <c r="AC25" s="44"/>
      <c r="AD25" s="44"/>
      <c r="AE25" s="44"/>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44"/>
      <c r="AB26" s="44"/>
      <c r="AC26" s="44"/>
      <c r="AD26" s="44"/>
      <c r="AE26" s="44"/>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44"/>
      <c r="AB27" s="44"/>
      <c r="AC27" s="44"/>
      <c r="AD27" s="44"/>
      <c r="AE27" s="44"/>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45">
        <v>18946000000</v>
      </c>
      <c r="AB28" s="45">
        <v>24287000000</v>
      </c>
      <c r="AC28" s="45">
        <v>29281000000</v>
      </c>
      <c r="AD28" s="45">
        <v>34861000000</v>
      </c>
      <c r="AE28" s="45">
        <v>46234000000</v>
      </c>
    </row>
    <row r="29" spans="1:35" ht="20" customHeight="1" thickTop="1" x14ac:dyDescent="0.25">
      <c r="A29" s="14" t="s">
        <v>102</v>
      </c>
      <c r="B29" s="1"/>
      <c r="C29" s="15">
        <f>(C28/B28)-1</f>
        <v>8.2926829268292686</v>
      </c>
      <c r="D29" s="15">
        <f>(D28/C28)-1</f>
        <v>1.6230183727034122</v>
      </c>
      <c r="E29" s="15">
        <f>(E28/D28)-1</f>
        <v>0.77035532385402794</v>
      </c>
      <c r="F29" s="15">
        <f t="shared" ref="F29:I29" si="39">(F28/E28)-1</f>
        <v>-0.48679093848206012</v>
      </c>
      <c r="G29" s="15">
        <f t="shared" si="39"/>
        <v>-0.18039846253813363</v>
      </c>
      <c r="H29" s="15">
        <f t="shared" si="39"/>
        <v>0.34852658595251218</v>
      </c>
      <c r="I29" s="15">
        <f t="shared" si="39"/>
        <v>2.0151261509027862</v>
      </c>
      <c r="J29" s="15">
        <f t="shared" ref="J29" si="40">(J28/I28)-1</f>
        <v>0.48332705412676069</v>
      </c>
      <c r="K29" s="15">
        <f t="shared" ref="K29" si="41">(K28/J28)-1</f>
        <v>0.77714923557484505</v>
      </c>
      <c r="L29" s="15">
        <f t="shared" ref="L29" si="42">(L28/K28)-1</f>
        <v>-1.0376621178594487</v>
      </c>
      <c r="M29" s="15">
        <f t="shared" ref="M29" si="43">(M28/L28)-1</f>
        <v>1.2631403748210777</v>
      </c>
      <c r="N29" s="15">
        <f t="shared" ref="N29" si="44">(N28/M28)-1</f>
        <v>-4.7234471295983056</v>
      </c>
      <c r="O29" s="15">
        <f t="shared" ref="O29" si="45">(O28/N28)-1</f>
        <v>1.2954737582264779</v>
      </c>
      <c r="P29" s="15">
        <f t="shared" ref="P29" si="46">(P28/O28)-1</f>
        <v>-3.1929649451892139E-2</v>
      </c>
      <c r="Q29" s="15">
        <f t="shared" ref="Q29" si="47">(Q28/P28)-1</f>
        <v>-0.2178456134362956</v>
      </c>
      <c r="R29" s="15">
        <f t="shared" ref="R29" si="48">(R28/Q28)-1</f>
        <v>0.43318484511011612</v>
      </c>
      <c r="S29" s="15">
        <f t="shared" ref="S29" si="49">(S28/R28)-1</f>
        <v>-2.6304062722510957E-2</v>
      </c>
      <c r="T29" s="15">
        <f t="shared" ref="T29" si="50">(T28/S28)-1</f>
        <v>1.7133550488599347</v>
      </c>
      <c r="U29" s="15">
        <f t="shared" ref="U29" si="51">(U28/T28)-1</f>
        <v>0.82893157262905159</v>
      </c>
      <c r="V29" s="15">
        <f t="shared" ref="V29" si="52">(V28/U28)-1</f>
        <v>0.35904168034131922</v>
      </c>
      <c r="W29" s="15">
        <f t="shared" ref="W29" si="53">(W28/V28)-1</f>
        <v>-0.3248007727602028</v>
      </c>
      <c r="X29" s="15">
        <f t="shared" ref="X29" si="54">(X28/W28)-1</f>
        <v>0.54935622317596566</v>
      </c>
      <c r="Y29" s="15">
        <f t="shared" ref="Y29" si="55">(Y28/X28)-1</f>
        <v>1.2511542012927053</v>
      </c>
      <c r="Z29" s="15">
        <f t="shared" ref="Z29" si="56">(Z28/Y28)-1</f>
        <v>-0.55209187858900743</v>
      </c>
      <c r="AA29" s="16">
        <f t="shared" ref="AA29" si="57">(AA28/Z28)-1</f>
        <v>3.3374542124542126</v>
      </c>
      <c r="AB29" s="16">
        <f t="shared" ref="AB29" si="58">(AB28/AA28)-1</f>
        <v>0.28190647102290711</v>
      </c>
      <c r="AC29" s="16">
        <f t="shared" ref="AC29" si="59">(AC28/AB28)-1</f>
        <v>0.20562440811957017</v>
      </c>
      <c r="AD29" s="16">
        <f t="shared" ref="AD29" si="60">(AD28/AC28)-1</f>
        <v>0.19056726204706131</v>
      </c>
      <c r="AE29" s="16">
        <f t="shared" ref="AE29" si="61">(AE28/AD28)-1</f>
        <v>0.32623849000315541</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40">
        <f>AA28/AA3</f>
        <v>0.44564143576233711</v>
      </c>
      <c r="AB30" s="40">
        <f t="shared" ref="AB30:AE30" si="62">AB28/AB3</f>
        <v>0.46528602628453197</v>
      </c>
      <c r="AC30" s="40">
        <f t="shared" si="62"/>
        <v>0.460791565032654</v>
      </c>
      <c r="AD30" s="40">
        <f t="shared" si="62"/>
        <v>0.42626739380303735</v>
      </c>
      <c r="AE30" s="40">
        <f t="shared" si="62"/>
        <v>0.44498556304138592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41">
        <v>7.66</v>
      </c>
      <c r="AB31" s="41">
        <v>9.82</v>
      </c>
      <c r="AC31" s="41">
        <v>11.84</v>
      </c>
      <c r="AD31" s="41">
        <v>14.1</v>
      </c>
      <c r="AE31" s="41">
        <v>18.690000000000001</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104</v>
      </c>
      <c r="B35" s="1"/>
      <c r="C35" s="19">
        <f>(C34-B34)/B34</f>
        <v>0.31147483922291586</v>
      </c>
      <c r="D35" s="19">
        <f t="shared" ref="D35:I35" si="63">(D34-C34)/C34</f>
        <v>0.10795666072548654</v>
      </c>
      <c r="E35" s="19">
        <f t="shared" si="63"/>
        <v>7.3951310574355153E-2</v>
      </c>
      <c r="F35" s="19">
        <f t="shared" si="63"/>
        <v>-1.567157973310709E-2</v>
      </c>
      <c r="G35" s="19">
        <f t="shared" si="63"/>
        <v>2.5618641628257301E-2</v>
      </c>
      <c r="H35" s="19">
        <f t="shared" si="63"/>
        <v>2.229787947647504E-2</v>
      </c>
      <c r="I35" s="19">
        <f t="shared" si="63"/>
        <v>3.6209065804180866E-2</v>
      </c>
      <c r="J35" s="19">
        <f t="shared" ref="J35" si="64">(J34-I34)/I34</f>
        <v>6.996955446927651E-2</v>
      </c>
      <c r="K35" s="19">
        <f t="shared" ref="K35" si="65">(K34-J34)/J34</f>
        <v>3.3680993862574046E-2</v>
      </c>
      <c r="L35" s="19">
        <f t="shared" ref="L35" si="66">(L34-K34)/K34</f>
        <v>-9.6592894391592993E-2</v>
      </c>
      <c r="M35" s="19">
        <f t="shared" ref="M35" si="67">(M34-L34)/L34</f>
        <v>2.6417283617270484E-3</v>
      </c>
      <c r="N35" s="19">
        <f t="shared" ref="N35" si="68">(N34-M34)/M34</f>
        <v>7.1164210825111818E-2</v>
      </c>
      <c r="O35" s="19">
        <f t="shared" ref="O35" si="69">(O34-N34)/N34</f>
        <v>4.7032023972114069E-2</v>
      </c>
      <c r="P35" s="19">
        <f t="shared" ref="P35" si="70">(P34-O34)/O34</f>
        <v>1.3929922076152188E-2</v>
      </c>
      <c r="Q35" s="19">
        <f t="shared" ref="Q35" si="71">(Q34-P34)/P34</f>
        <v>-4.8707351065753322E-2</v>
      </c>
      <c r="R35" s="19">
        <f t="shared" ref="R35" si="72">(R34-Q34)/Q34</f>
        <v>-5.2898403241623031E-2</v>
      </c>
      <c r="S35" s="19">
        <f t="shared" ref="S35" si="73">(S34-R34)/R34</f>
        <v>1.0535139627895743E-2</v>
      </c>
      <c r="T35" s="19">
        <f t="shared" ref="T35" si="74">(T34-S34)/S34</f>
        <v>0.14059753954305801</v>
      </c>
      <c r="U35" s="19">
        <f t="shared" ref="U35" si="75">(U34-T34)/T34</f>
        <v>-2.6194144838212634E-2</v>
      </c>
      <c r="V35" s="19">
        <f t="shared" ref="V35" si="76">(V34-U34)/U34</f>
        <v>-1.1075949367088608E-2</v>
      </c>
      <c r="W35" s="19">
        <f t="shared" ref="W35" si="77">(W34-V34)/V34</f>
        <v>-1.12E-2</v>
      </c>
      <c r="X35" s="19">
        <f t="shared" ref="X35" si="78">(X34-W34)/W34</f>
        <v>1.6181229773462782E-2</v>
      </c>
      <c r="Y35" s="19">
        <f t="shared" ref="Y35" si="79">(Y34-X34)/X34</f>
        <v>9.1560509554140124E-3</v>
      </c>
      <c r="Z35" s="19">
        <f t="shared" ref="Z35" si="80">(Z34-Y34)/Y34</f>
        <v>-1.1045364891518738E-2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81">B79/B3</f>
        <v>0</v>
      </c>
      <c r="C80" s="15" t="e">
        <f t="shared" si="81"/>
        <v>#VALUE!</v>
      </c>
      <c r="D80" s="15" t="e">
        <f t="shared" si="81"/>
        <v>#VALUE!</v>
      </c>
      <c r="E80" s="15" t="e">
        <f t="shared" si="81"/>
        <v>#VALUE!</v>
      </c>
      <c r="F80" s="15" t="e">
        <f t="shared" si="81"/>
        <v>#VALUE!</v>
      </c>
      <c r="G80" s="15" t="e">
        <f t="shared" si="81"/>
        <v>#VALUE!</v>
      </c>
      <c r="H80" s="15" t="e">
        <f t="shared" si="81"/>
        <v>#VALUE!</v>
      </c>
      <c r="I80" s="15" t="e">
        <f t="shared" si="81"/>
        <v>#VALUE!</v>
      </c>
      <c r="J80" s="15" t="e">
        <f t="shared" si="81"/>
        <v>#VALUE!</v>
      </c>
      <c r="K80" s="15" t="e">
        <f t="shared" si="81"/>
        <v>#VALUE!</v>
      </c>
      <c r="L80" s="15" t="e">
        <f t="shared" si="81"/>
        <v>#VALUE!</v>
      </c>
      <c r="M80" s="15">
        <f t="shared" si="81"/>
        <v>7.2998651713766502E-2</v>
      </c>
      <c r="N80" s="15">
        <f t="shared" si="81"/>
        <v>2.8321831372877724E-2</v>
      </c>
      <c r="O80" s="15">
        <f t="shared" si="81"/>
        <v>3.4106149932590119E-2</v>
      </c>
      <c r="P80" s="15">
        <f t="shared" si="81"/>
        <v>3.1929187677373669E-2</v>
      </c>
      <c r="Q80" s="15">
        <f t="shared" si="81"/>
        <v>3.2999916226046339E-2</v>
      </c>
      <c r="R80" s="15">
        <f t="shared" si="81"/>
        <v>3.3715852608999626E-2</v>
      </c>
      <c r="S80" s="15">
        <f t="shared" si="81"/>
        <v>4.0718562874251497E-2</v>
      </c>
      <c r="T80" s="15">
        <f t="shared" si="81"/>
        <v>3.5745296671490595E-2</v>
      </c>
      <c r="U80" s="15">
        <f t="shared" si="81"/>
        <v>4.0251183858348777E-2</v>
      </c>
      <c r="V80" s="15">
        <f t="shared" si="81"/>
        <v>4.7541823147832021E-2</v>
      </c>
      <c r="W80" s="15">
        <f t="shared" si="81"/>
        <v>7.7303535446052396E-2</v>
      </c>
      <c r="X80" s="15">
        <f t="shared" si="81"/>
        <v>8.3778110944527737E-2</v>
      </c>
      <c r="Y80" s="15">
        <f t="shared" si="81"/>
        <v>7.4459389165490081E-2</v>
      </c>
      <c r="Z80" s="15">
        <f t="shared" si="81"/>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c r="AG83" s="70" t="s">
        <v>121</v>
      </c>
      <c r="AH83" s="71"/>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2" t="s">
        <v>122</v>
      </c>
      <c r="AH84" s="72"/>
    </row>
    <row r="85" spans="1:34" ht="20"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53" t="s">
        <v>101</v>
      </c>
      <c r="AH85" s="54">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53" t="s">
        <v>123</v>
      </c>
      <c r="AH86" s="54">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53" t="s">
        <v>124</v>
      </c>
      <c r="AH87" s="54">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55" t="s">
        <v>125</v>
      </c>
      <c r="AH88" s="56">
        <f>AH85/(AH86+AH87)</f>
        <v>2.210037958667229E-2</v>
      </c>
    </row>
    <row r="89" spans="1:34" ht="20" customHeight="1" x14ac:dyDescent="0.25">
      <c r="A89" s="14" t="s">
        <v>107</v>
      </c>
      <c r="B89" s="15">
        <f t="shared" ref="B89:Z89" si="82">(-1*B88)/B3</f>
        <v>5.2179656538969617E-2</v>
      </c>
      <c r="C89" s="15">
        <f t="shared" si="82"/>
        <v>3.0974632843791722E-2</v>
      </c>
      <c r="D89" s="15">
        <f t="shared" si="82"/>
        <v>4.9409463811637723E-2</v>
      </c>
      <c r="E89" s="15">
        <f t="shared" si="82"/>
        <v>0.11761840886006349</v>
      </c>
      <c r="F89" s="15">
        <f t="shared" si="82"/>
        <v>3.3058262418386053E-2</v>
      </c>
      <c r="G89" s="15">
        <f t="shared" si="82"/>
        <v>6.999882058975998E-2</v>
      </c>
      <c r="H89" s="15">
        <f t="shared" si="82"/>
        <v>3.3462634693062251E-2</v>
      </c>
      <c r="I89" s="15">
        <f t="shared" si="82"/>
        <v>3.3506097394143251E-2</v>
      </c>
      <c r="J89" s="15">
        <f t="shared" si="82"/>
        <v>4.7333606841305526E-2</v>
      </c>
      <c r="K89" s="15">
        <f t="shared" si="82"/>
        <v>4.581537680643067E-2</v>
      </c>
      <c r="L89" s="15">
        <f t="shared" si="82"/>
        <v>0.11903263754799832</v>
      </c>
      <c r="M89" s="15">
        <f t="shared" si="82"/>
        <v>2.332850836253117E-2</v>
      </c>
      <c r="N89" s="15">
        <f t="shared" si="82"/>
        <v>2.7626718414905389E-2</v>
      </c>
      <c r="O89" s="15">
        <f t="shared" si="82"/>
        <v>3.4701708133959321E-2</v>
      </c>
      <c r="P89" s="15">
        <f t="shared" si="82"/>
        <v>4.2827614581607831E-2</v>
      </c>
      <c r="Q89" s="15">
        <f t="shared" si="82"/>
        <v>6.1785954158698857E-2</v>
      </c>
      <c r="R89" s="15">
        <f t="shared" si="82"/>
        <v>2.6141368580672848E-2</v>
      </c>
      <c r="S89" s="15">
        <f t="shared" si="82"/>
        <v>1.716566866267465E-2</v>
      </c>
      <c r="T89" s="15">
        <f t="shared" si="82"/>
        <v>2.5470332850940667E-2</v>
      </c>
      <c r="U89" s="15">
        <f t="shared" si="82"/>
        <v>6.1045913115091617E-2</v>
      </c>
      <c r="V89" s="15">
        <f t="shared" si="82"/>
        <v>5.1212017753499491E-2</v>
      </c>
      <c r="W89" s="15">
        <f t="shared" si="82"/>
        <v>4.478842278805642E-2</v>
      </c>
      <c r="X89" s="15">
        <f t="shared" si="82"/>
        <v>6.7646176911544231E-2</v>
      </c>
      <c r="Y89" s="15">
        <f t="shared" si="82"/>
        <v>3.6263654603552055E-2</v>
      </c>
      <c r="Z89" s="15">
        <f t="shared" si="82"/>
        <v>6.7954326388373995E-2</v>
      </c>
      <c r="AG89" s="53" t="s">
        <v>126</v>
      </c>
      <c r="AH89" s="54">
        <f>Z27</f>
        <v>187000000</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53" t="s">
        <v>19</v>
      </c>
      <c r="AH90" s="54">
        <f>Z25</f>
        <v>4181000000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55" t="s">
        <v>127</v>
      </c>
      <c r="AH91" s="56">
        <f>AH89/AH90</f>
        <v>4.4726142071274816E-2</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5" t="s">
        <v>128</v>
      </c>
      <c r="AH92" s="56">
        <f>AH88*(1-AH91)</f>
        <v>2.1111914869449685E-2</v>
      </c>
    </row>
    <row r="93" spans="1:34" ht="19"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73" t="s">
        <v>129</v>
      </c>
      <c r="AH93" s="73"/>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53" t="s">
        <v>103</v>
      </c>
      <c r="AH94" s="57">
        <f>[1]Treasuries!$C$8</f>
        <v>3.8539999999999998E-2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53" t="s">
        <v>130</v>
      </c>
      <c r="AH95" s="58" cm="1">
        <f t="array" ref="AH95">_FV(A1,"Beta")</f>
        <v>1.742</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53" t="s">
        <v>131</v>
      </c>
      <c r="AH96" s="57">
        <v>8.4000000000000005E-2</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55" t="s">
        <v>132</v>
      </c>
      <c r="AH97" s="56">
        <f>(AH94)+((AH95)*(AH96-AH94))</f>
        <v>0.11773132</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73" t="s">
        <v>133</v>
      </c>
      <c r="AH98" s="73"/>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53" t="s">
        <v>134</v>
      </c>
      <c r="AH99" s="54">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55" t="s">
        <v>105</v>
      </c>
      <c r="AH100" s="56">
        <f>AH99/AH103</f>
        <v>1.1218740359264665E-2</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53" t="s">
        <v>135</v>
      </c>
      <c r="AH101" s="59" cm="1">
        <f t="array" ref="AH101">_FV(A1,"Market cap",TRUE)</f>
        <v>1044859000000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55" t="s">
        <v>136</v>
      </c>
      <c r="AH102" s="56">
        <f>AH101/AH103</f>
        <v>0.98878125964073538</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5" t="s">
        <v>137</v>
      </c>
      <c r="AH103" s="60">
        <f>AH99+AH101</f>
        <v>1056714000000</v>
      </c>
    </row>
    <row r="104" spans="1:34" ht="20"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72" t="s">
        <v>138</v>
      </c>
      <c r="AH104" s="72"/>
    </row>
    <row r="105" spans="1:34" ht="21" thickTop="1" x14ac:dyDescent="0.25">
      <c r="A105" s="14" t="s">
        <v>160</v>
      </c>
      <c r="B105" s="1">
        <f t="shared" ref="B105:Y105" si="83">(B22*(1-$AH$91))+B77+B88+B81</f>
        <v>-16197129.873236068</v>
      </c>
      <c r="C105" s="1">
        <f t="shared" si="83"/>
        <v>7566897.8713226542</v>
      </c>
      <c r="D105" s="1">
        <f t="shared" si="83"/>
        <v>19194586.223391533</v>
      </c>
      <c r="E105" s="1">
        <f t="shared" si="83"/>
        <v>14899260.224826574</v>
      </c>
      <c r="F105" s="1">
        <f t="shared" si="83"/>
        <v>168041061.70772544</v>
      </c>
      <c r="G105" s="1">
        <f t="shared" si="83"/>
        <v>-139559374.79071993</v>
      </c>
      <c r="H105" s="1">
        <f t="shared" si="83"/>
        <v>48737423.343697667</v>
      </c>
      <c r="I105" s="1">
        <f t="shared" si="83"/>
        <v>363395773.25998569</v>
      </c>
      <c r="J105" s="1">
        <f t="shared" si="83"/>
        <v>262606841.42549634</v>
      </c>
      <c r="K105" s="1">
        <f t="shared" si="83"/>
        <v>914335469.98325765</v>
      </c>
      <c r="L105" s="1">
        <f t="shared" si="83"/>
        <v>-323517861.75556087</v>
      </c>
      <c r="M105" s="1">
        <f t="shared" si="83"/>
        <v>160958428.12724227</v>
      </c>
      <c r="N105" s="1">
        <f t="shared" si="83"/>
        <v>485106423.34369767</v>
      </c>
      <c r="O105" s="1">
        <f t="shared" si="83"/>
        <v>686922086.8213346</v>
      </c>
      <c r="P105" s="1">
        <f t="shared" si="83"/>
        <v>549849770.38985896</v>
      </c>
      <c r="Q105" s="1">
        <f t="shared" si="83"/>
        <v>470231680.69839752</v>
      </c>
      <c r="R105" s="1">
        <f t="shared" si="83"/>
        <v>620259350.15546525</v>
      </c>
      <c r="S105" s="1">
        <f t="shared" si="83"/>
        <v>773589571.87275779</v>
      </c>
      <c r="T105" s="1">
        <f t="shared" si="83"/>
        <v>1179499641.2341545</v>
      </c>
      <c r="U105" s="1">
        <f t="shared" si="83"/>
        <v>2857429083.9512081</v>
      </c>
      <c r="V105" s="1">
        <f t="shared" si="83"/>
        <v>2438861755.5608706</v>
      </c>
      <c r="W105" s="1">
        <f t="shared" si="83"/>
        <v>3327709399.6651521</v>
      </c>
      <c r="X105" s="1">
        <f t="shared" si="83"/>
        <v>3596301124.1329823</v>
      </c>
      <c r="Y105" s="1">
        <f t="shared" si="83"/>
        <v>6426904807.4623299</v>
      </c>
      <c r="Z105" s="1">
        <f>(Z22*(1-$AH$91))+Z77+Z88+Z81</f>
        <v>2930076775.8909359</v>
      </c>
      <c r="AA105" s="22">
        <f>Z105*(1+$AH$106)</f>
        <v>3855232170.8413153</v>
      </c>
      <c r="AB105" s="22">
        <f t="shared" ref="AB105:AE105" si="84">AA105*(1+$AH$106)</f>
        <v>5072500220.261487</v>
      </c>
      <c r="AC105" s="22">
        <f t="shared" si="84"/>
        <v>6674113865.0899467</v>
      </c>
      <c r="AD105" s="22">
        <f t="shared" si="84"/>
        <v>8781428082.7945709</v>
      </c>
      <c r="AE105" s="22">
        <f t="shared" si="84"/>
        <v>11554115007.933548</v>
      </c>
      <c r="AF105" s="23" t="s">
        <v>163</v>
      </c>
      <c r="AG105" s="61" t="s">
        <v>139</v>
      </c>
      <c r="AH105" s="62">
        <f>(AH100*AH92)+(AH102*AH97)</f>
        <v>0.11664737198017376</v>
      </c>
    </row>
    <row r="106" spans="1:34" ht="19" x14ac:dyDescent="0.25">
      <c r="A106" s="14" t="s">
        <v>161</v>
      </c>
      <c r="B106" s="1"/>
      <c r="C106" s="15">
        <f t="shared" ref="C106:Z106" si="85">(C107/B107)-1</f>
        <v>-1.4387755102040816</v>
      </c>
      <c r="D106" s="15">
        <f t="shared" si="85"/>
        <v>6.344186046511628</v>
      </c>
      <c r="E106" s="15">
        <f t="shared" si="85"/>
        <v>-1.0085180493983534</v>
      </c>
      <c r="F106" s="15">
        <f t="shared" si="85"/>
        <v>-751.59107806691452</v>
      </c>
      <c r="G106" s="15">
        <f t="shared" si="85"/>
        <v>-1.3859461440549952</v>
      </c>
      <c r="H106" s="15">
        <f t="shared" si="85"/>
        <v>-1.8333418884582811</v>
      </c>
      <c r="I106" s="15">
        <f t="shared" si="85"/>
        <v>4.6485009008454083</v>
      </c>
      <c r="J106" s="15">
        <f t="shared" si="85"/>
        <v>0.20459477437787621</v>
      </c>
      <c r="K106" s="15">
        <f t="shared" si="85"/>
        <v>1.449787826323115</v>
      </c>
      <c r="L106" s="15">
        <f t="shared" si="85"/>
        <v>-1.1462514238519803</v>
      </c>
      <c r="M106" s="15">
        <f t="shared" si="85"/>
        <v>-3.5911565914976946</v>
      </c>
      <c r="N106" s="15">
        <f t="shared" si="85"/>
        <v>0.40882142143215838</v>
      </c>
      <c r="O106" s="15">
        <f t="shared" si="85"/>
        <v>0.33312280349606427</v>
      </c>
      <c r="P106" s="15">
        <f t="shared" si="85"/>
        <v>-0.16816519798915142</v>
      </c>
      <c r="Q106" s="15">
        <f t="shared" si="85"/>
        <v>-9.5032791719915188E-2</v>
      </c>
      <c r="R106" s="15">
        <f t="shared" si="85"/>
        <v>0.35056728050210362</v>
      </c>
      <c r="S106" s="15">
        <f t="shared" si="85"/>
        <v>0.39031630015001118</v>
      </c>
      <c r="T106" s="15">
        <f t="shared" si="85"/>
        <v>0.3737373737373737</v>
      </c>
      <c r="U106" s="15">
        <f t="shared" si="85"/>
        <v>0.94451871657754016</v>
      </c>
      <c r="V106" s="15">
        <f t="shared" si="85"/>
        <v>8.0440013750429751E-2</v>
      </c>
      <c r="W106" s="15">
        <f t="shared" si="85"/>
        <v>0.35921094495704731</v>
      </c>
      <c r="X106" s="15">
        <f t="shared" si="85"/>
        <v>9.878277153558046E-2</v>
      </c>
      <c r="Y106" s="15">
        <f t="shared" si="85"/>
        <v>0.73242437153813378</v>
      </c>
      <c r="Z106" s="15">
        <f t="shared" si="85"/>
        <v>-0.53172651254303982</v>
      </c>
      <c r="AA106" s="42">
        <v>17409000000</v>
      </c>
      <c r="AB106" s="42">
        <v>23881000000</v>
      </c>
      <c r="AC106" s="42">
        <v>29474000000</v>
      </c>
      <c r="AD106" s="42">
        <v>37416000000</v>
      </c>
      <c r="AE106" s="42">
        <v>49397000000</v>
      </c>
      <c r="AF106" s="23" t="s">
        <v>164</v>
      </c>
      <c r="AG106" s="63" t="s">
        <v>140</v>
      </c>
      <c r="AH106" s="64">
        <f>(SUM(AA4:AE4)/5)</f>
        <v>0.31574442095261201</v>
      </c>
    </row>
    <row r="107" spans="1:34" ht="20" customHeight="1" x14ac:dyDescent="0.25">
      <c r="A107" s="50"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23"/>
      <c r="AB107" s="23"/>
      <c r="AC107" s="23"/>
      <c r="AD107" s="23"/>
      <c r="AE107" s="43">
        <f>AE106*(1+AH107)/(AH108-AH107)</f>
        <v>552464559605.19299</v>
      </c>
      <c r="AF107" s="24" t="s">
        <v>141</v>
      </c>
      <c r="AG107" s="65" t="s">
        <v>142</v>
      </c>
      <c r="AH107" s="66">
        <v>2.5000000000000001E-2</v>
      </c>
    </row>
    <row r="108" spans="1:34" ht="19" x14ac:dyDescent="0.25">
      <c r="AA108" s="43">
        <f t="shared" ref="AA108:AD108" si="86">AA107+AA106</f>
        <v>17409000000</v>
      </c>
      <c r="AB108" s="43">
        <f t="shared" si="86"/>
        <v>23881000000</v>
      </c>
      <c r="AC108" s="43">
        <f t="shared" si="86"/>
        <v>29474000000</v>
      </c>
      <c r="AD108" s="43">
        <f t="shared" si="86"/>
        <v>37416000000</v>
      </c>
      <c r="AE108" s="43">
        <f>AE107+AE106</f>
        <v>601861559605.19299</v>
      </c>
      <c r="AF108" s="24" t="s">
        <v>137</v>
      </c>
      <c r="AG108" s="67" t="s">
        <v>143</v>
      </c>
      <c r="AH108" s="64">
        <f>AH105</f>
        <v>0.11664737198017376</v>
      </c>
    </row>
    <row r="109" spans="1:34" ht="19" x14ac:dyDescent="0.25">
      <c r="AA109" s="68" t="s">
        <v>144</v>
      </c>
      <c r="AB109" s="69"/>
    </row>
    <row r="110" spans="1:34" ht="20" x14ac:dyDescent="0.25">
      <c r="AA110" s="25" t="s">
        <v>145</v>
      </c>
      <c r="AB110" s="26">
        <f>NPV(AH108,AA108,AB108,AC108,AD108,AE108)</f>
        <v>426646725149.75769</v>
      </c>
    </row>
    <row r="111" spans="1:34" ht="20" x14ac:dyDescent="0.25">
      <c r="AA111" s="25" t="s">
        <v>146</v>
      </c>
      <c r="AB111" s="26">
        <f>Z40</f>
        <v>13296000000</v>
      </c>
    </row>
    <row r="112" spans="1:34" ht="20" x14ac:dyDescent="0.25">
      <c r="AA112" s="25" t="s">
        <v>134</v>
      </c>
      <c r="AB112" s="26">
        <f>AH99</f>
        <v>11855000000</v>
      </c>
    </row>
    <row r="113" spans="27:28" ht="20" x14ac:dyDescent="0.25">
      <c r="AA113" s="25" t="s">
        <v>147</v>
      </c>
      <c r="AB113" s="26">
        <f>AB110+AB111-AB112</f>
        <v>428087725149.75769</v>
      </c>
    </row>
    <row r="114" spans="27:28" ht="20" x14ac:dyDescent="0.25">
      <c r="AA114" s="25" t="s">
        <v>148</v>
      </c>
      <c r="AB114" s="37">
        <f>Z34*(1+(5*AF16))</f>
        <v>2486984027.9409657</v>
      </c>
    </row>
    <row r="115" spans="27:28" ht="20" x14ac:dyDescent="0.25">
      <c r="AA115" s="27" t="s">
        <v>149</v>
      </c>
      <c r="AB115" s="28">
        <f>AB113/AB114</f>
        <v>172.13127239268275</v>
      </c>
    </row>
    <row r="116" spans="27:28" ht="20" x14ac:dyDescent="0.25">
      <c r="AA116" s="25" t="s">
        <v>150</v>
      </c>
      <c r="AB116" s="38" cm="1">
        <f t="array" ref="AB116">_FV(A1,"Price")</f>
        <v>423.02</v>
      </c>
    </row>
    <row r="117" spans="27:28" ht="20" x14ac:dyDescent="0.25">
      <c r="AA117" s="29" t="s">
        <v>151</v>
      </c>
      <c r="AB117" s="30">
        <f>AB115/AB116-1</f>
        <v>-0.59308951729780446</v>
      </c>
    </row>
    <row r="118" spans="27:28" ht="20" x14ac:dyDescent="0.25">
      <c r="AA118" s="29" t="s">
        <v>152</v>
      </c>
      <c r="AB118" s="31"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6" r:id="rId53" xr:uid="{455E61A6-7595-BF44-83CA-5135D6E59FB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2023-07-01T08:29:28Z</dcterms:modified>
</cp:coreProperties>
</file>